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425" activeTab="1"/>
  </bookViews>
  <sheets>
    <sheet name="Anexo15 Ct 0279791546" sheetId="1" r:id="rId1"/>
    <sheet name="Anexo15 Cta 0307778169" sheetId="2" r:id="rId2"/>
  </sheets>
  <externalReferences>
    <externalReference r:id="rId3"/>
    <externalReference r:id="rId4"/>
  </externalReferences>
  <definedNames>
    <definedName name="_xlnm.Print_Area" localSheetId="0">'Anexo15 Ct 0279791546'!$A$1:$F$76</definedName>
    <definedName name="_xlnm.Print_Area" localSheetId="1">'Anexo15 Cta 0307778169'!$A$1:$F$74</definedName>
    <definedName name="_xlnm.Database">[1]Hoja1!$A$1:$E$565</definedName>
  </definedNames>
  <calcPr calcId="145621"/>
</workbook>
</file>

<file path=xl/calcChain.xml><?xml version="1.0" encoding="utf-8"?>
<calcChain xmlns="http://schemas.openxmlformats.org/spreadsheetml/2006/main">
  <c r="D63" i="2" l="1"/>
  <c r="D53" i="2"/>
  <c r="C61" i="2" l="1"/>
  <c r="C52" i="2"/>
  <c r="C51" i="2"/>
  <c r="C50" i="2"/>
  <c r="C49" i="2"/>
  <c r="C48" i="2"/>
  <c r="C47" i="2"/>
  <c r="C46" i="2"/>
  <c r="C45" i="2"/>
  <c r="C44" i="2"/>
  <c r="C43" i="2"/>
  <c r="C41" i="2"/>
  <c r="C40" i="2"/>
  <c r="C39" i="2"/>
  <c r="C38" i="2"/>
  <c r="C37" i="2"/>
  <c r="C36" i="2"/>
  <c r="C35" i="2"/>
  <c r="C34" i="2"/>
  <c r="C33" i="2"/>
  <c r="C31" i="2"/>
  <c r="C30" i="2"/>
  <c r="C29" i="2"/>
  <c r="C28" i="2"/>
  <c r="C27" i="2"/>
  <c r="C22" i="2"/>
  <c r="C21" i="2"/>
  <c r="C20" i="2"/>
  <c r="D10" i="2"/>
  <c r="D9" i="2"/>
  <c r="D52" i="2"/>
  <c r="D51" i="2"/>
  <c r="D50" i="2"/>
  <c r="D49" i="2"/>
  <c r="D45" i="2"/>
  <c r="D44" i="2"/>
  <c r="D43" i="2"/>
  <c r="D38" i="2"/>
  <c r="D37" i="2"/>
  <c r="D35" i="2"/>
  <c r="D34" i="2"/>
  <c r="D33" i="2"/>
  <c r="D31" i="2"/>
  <c r="D30" i="2"/>
  <c r="D28" i="2"/>
  <c r="D27" i="2"/>
  <c r="D24" i="2"/>
  <c r="D22" i="2"/>
  <c r="D21" i="2"/>
  <c r="D20" i="2"/>
  <c r="D58" i="1" l="1"/>
  <c r="D20" i="1" l="1"/>
  <c r="D21" i="1"/>
  <c r="D22" i="1"/>
  <c r="D30" i="1"/>
  <c r="D33" i="1"/>
  <c r="D35" i="1"/>
  <c r="D37" i="1"/>
  <c r="D64" i="1"/>
  <c r="D62" i="2" l="1"/>
  <c r="D19" i="2" l="1"/>
  <c r="D62" i="1"/>
  <c r="D10" i="1"/>
  <c r="E61" i="2" l="1"/>
  <c r="D60" i="2"/>
  <c r="C60" i="2"/>
  <c r="E59" i="2"/>
  <c r="E58" i="2"/>
  <c r="E57" i="2"/>
  <c r="E56" i="2"/>
  <c r="E55" i="2"/>
  <c r="D54" i="2"/>
  <c r="E53" i="2"/>
  <c r="E52" i="2"/>
  <c r="E51" i="2"/>
  <c r="E50" i="2"/>
  <c r="E49" i="2"/>
  <c r="E48" i="2"/>
  <c r="E47" i="2"/>
  <c r="E46" i="2"/>
  <c r="E45" i="2"/>
  <c r="E43" i="2"/>
  <c r="C42" i="2"/>
  <c r="E41" i="2"/>
  <c r="E40" i="2"/>
  <c r="E39" i="2"/>
  <c r="E36" i="2"/>
  <c r="E35" i="2"/>
  <c r="E34" i="2"/>
  <c r="E33" i="2"/>
  <c r="C32" i="2"/>
  <c r="E31" i="2"/>
  <c r="E30" i="2"/>
  <c r="E29" i="2"/>
  <c r="E28" i="2"/>
  <c r="E27" i="2"/>
  <c r="C19" i="2"/>
  <c r="E26" i="2"/>
  <c r="E25" i="2"/>
  <c r="E24" i="2"/>
  <c r="E23" i="2"/>
  <c r="E22" i="2"/>
  <c r="E21" i="2"/>
  <c r="E20" i="2"/>
  <c r="E60" i="2" l="1"/>
  <c r="E19" i="2"/>
  <c r="D32" i="2"/>
  <c r="E32" i="2" s="1"/>
  <c r="E37" i="2"/>
  <c r="E38" i="2"/>
  <c r="D42" i="2"/>
  <c r="E44" i="2"/>
  <c r="C54" i="2"/>
  <c r="E54" i="2" s="1"/>
  <c r="D19" i="1"/>
  <c r="D42" i="1"/>
  <c r="C42" i="1"/>
  <c r="E53" i="1"/>
  <c r="D61" i="1"/>
  <c r="D34" i="1"/>
  <c r="D38" i="1"/>
  <c r="D52" i="1"/>
  <c r="D51" i="1"/>
  <c r="D44" i="1"/>
  <c r="E57" i="1"/>
  <c r="D27" i="1"/>
  <c r="D31" i="1"/>
  <c r="D9" i="1"/>
  <c r="C18" i="2" l="1"/>
  <c r="C66" i="2" s="1"/>
  <c r="D18" i="2"/>
  <c r="E42" i="2"/>
  <c r="D60" i="1"/>
  <c r="D54" i="1"/>
  <c r="C61" i="1"/>
  <c r="C60" i="1" s="1"/>
  <c r="C59" i="1"/>
  <c r="C58" i="1"/>
  <c r="C56" i="1"/>
  <c r="C55" i="1"/>
  <c r="C52" i="1"/>
  <c r="C51" i="1"/>
  <c r="C50" i="1"/>
  <c r="C49" i="1"/>
  <c r="C48" i="1"/>
  <c r="C47" i="1"/>
  <c r="C46" i="1"/>
  <c r="E46" i="1" s="1"/>
  <c r="C45" i="1"/>
  <c r="E45" i="1" s="1"/>
  <c r="C44" i="1"/>
  <c r="E44" i="1" s="1"/>
  <c r="C43" i="1"/>
  <c r="E43" i="1" s="1"/>
  <c r="C41" i="1"/>
  <c r="C40" i="1"/>
  <c r="E40" i="1" s="1"/>
  <c r="C39" i="1"/>
  <c r="E39" i="1" s="1"/>
  <c r="C38" i="1"/>
  <c r="C37" i="1"/>
  <c r="C36" i="1"/>
  <c r="E36" i="1" s="1"/>
  <c r="C35" i="1"/>
  <c r="E35" i="1" s="1"/>
  <c r="C34" i="1"/>
  <c r="E34" i="1" s="1"/>
  <c r="C33" i="1"/>
  <c r="E33" i="1" s="1"/>
  <c r="C31" i="1"/>
  <c r="C30" i="1"/>
  <c r="C29" i="1"/>
  <c r="C28" i="1"/>
  <c r="C27" i="1"/>
  <c r="C22" i="1"/>
  <c r="C21" i="1"/>
  <c r="C20" i="1"/>
  <c r="D66" i="2" l="1"/>
  <c r="D11" i="2" s="1"/>
  <c r="D12" i="2" s="1"/>
  <c r="E18" i="2"/>
  <c r="E60" i="1"/>
  <c r="C54" i="1"/>
  <c r="E54" i="1" s="1"/>
  <c r="E61" i="1"/>
  <c r="C19" i="1"/>
  <c r="C32" i="1"/>
  <c r="E42" i="1"/>
  <c r="E59" i="1"/>
  <c r="E58" i="1"/>
  <c r="E56" i="1"/>
  <c r="E55" i="1"/>
  <c r="E52" i="1"/>
  <c r="E50" i="1"/>
  <c r="E49" i="1"/>
  <c r="E41" i="1"/>
  <c r="D32" i="1"/>
  <c r="D18" i="1" s="1"/>
  <c r="E38" i="1"/>
  <c r="E37" i="1"/>
  <c r="E31" i="1"/>
  <c r="E30" i="1"/>
  <c r="E29" i="1"/>
  <c r="E28" i="1"/>
  <c r="E27" i="1"/>
  <c r="D26" i="1"/>
  <c r="E25" i="1"/>
  <c r="E24" i="1"/>
  <c r="E23" i="1"/>
  <c r="E22" i="1"/>
  <c r="E21" i="1"/>
  <c r="F18" i="2" l="1"/>
  <c r="F47" i="2"/>
  <c r="F41" i="2"/>
  <c r="F29" i="2"/>
  <c r="F57" i="2"/>
  <c r="F53" i="2"/>
  <c r="F48" i="2"/>
  <c r="F43" i="2"/>
  <c r="F36" i="2"/>
  <c r="F25" i="2"/>
  <c r="F23" i="2"/>
  <c r="F24" i="2"/>
  <c r="F21" i="2"/>
  <c r="F19" i="2"/>
  <c r="F58" i="2"/>
  <c r="F55" i="2"/>
  <c r="F49" i="2"/>
  <c r="F45" i="2"/>
  <c r="F39" i="2"/>
  <c r="F27" i="2"/>
  <c r="F26" i="2"/>
  <c r="F66" i="2"/>
  <c r="F61" i="2"/>
  <c r="F60" i="2"/>
  <c r="F59" i="2"/>
  <c r="F56" i="2"/>
  <c r="F52" i="2"/>
  <c r="F51" i="2"/>
  <c r="F50" i="2"/>
  <c r="F46" i="2"/>
  <c r="F40" i="2"/>
  <c r="F28" i="2"/>
  <c r="F22" i="2"/>
  <c r="F20" i="2"/>
  <c r="F31" i="2"/>
  <c r="F34" i="2"/>
  <c r="F38" i="2"/>
  <c r="F44" i="2"/>
  <c r="F37" i="2"/>
  <c r="F33" i="2"/>
  <c r="F54" i="2"/>
  <c r="F35" i="2"/>
  <c r="F30" i="2"/>
  <c r="F42" i="2"/>
  <c r="F32" i="2"/>
  <c r="E66" i="2"/>
  <c r="E19" i="1"/>
  <c r="D66" i="1"/>
  <c r="C18" i="1"/>
  <c r="C66" i="1" s="1"/>
  <c r="E32" i="1"/>
  <c r="E20" i="1"/>
  <c r="E48" i="1"/>
  <c r="E26" i="1"/>
  <c r="E47" i="1"/>
  <c r="E51" i="1"/>
  <c r="D14" i="2" l="1"/>
  <c r="F19" i="1"/>
  <c r="F53" i="1"/>
  <c r="F66" i="1"/>
  <c r="F57" i="1"/>
  <c r="F54" i="1"/>
  <c r="F60" i="1"/>
  <c r="F32" i="1"/>
  <c r="F42" i="1"/>
  <c r="D11" i="1"/>
  <c r="F56" i="1"/>
  <c r="F52" i="1"/>
  <c r="F51" i="1"/>
  <c r="F50" i="1"/>
  <c r="F46" i="1"/>
  <c r="F41" i="1"/>
  <c r="F36" i="1"/>
  <c r="F31" i="1"/>
  <c r="F27" i="1"/>
  <c r="F23" i="1"/>
  <c r="F61" i="1"/>
  <c r="F55" i="1"/>
  <c r="F49" i="1"/>
  <c r="F45" i="1"/>
  <c r="F40" i="1"/>
  <c r="F35" i="1"/>
  <c r="F30" i="1"/>
  <c r="F22" i="1"/>
  <c r="F59" i="1"/>
  <c r="F48" i="1"/>
  <c r="F44" i="1"/>
  <c r="F39" i="1"/>
  <c r="F38" i="1"/>
  <c r="F34" i="1"/>
  <c r="F29" i="1"/>
  <c r="F25" i="1"/>
  <c r="F21" i="1"/>
  <c r="F58" i="1"/>
  <c r="F47" i="1"/>
  <c r="F43" i="1"/>
  <c r="F37" i="1"/>
  <c r="F33" i="1"/>
  <c r="F28" i="1"/>
  <c r="F24" i="1"/>
  <c r="F20" i="1"/>
  <c r="F26" i="1"/>
  <c r="E18" i="1"/>
  <c r="E66" i="1"/>
  <c r="F18" i="1"/>
  <c r="D12" i="1" l="1"/>
  <c r="D14" i="1" s="1"/>
</calcChain>
</file>

<file path=xl/sharedStrings.xml><?xml version="1.0" encoding="utf-8"?>
<sst xmlns="http://schemas.openxmlformats.org/spreadsheetml/2006/main" count="239" uniqueCount="129">
  <si>
    <t>DESGLOSE DE GASTOS EFECTUADOS CON RECURSOS DEL</t>
  </si>
  <si>
    <t>Y DE LAS DEMARCACIONES TERRITORIALES DEL DISTRITO FEDERAL</t>
  </si>
  <si>
    <t>ANEXO 15</t>
  </si>
  <si>
    <t>Municipio  de: Santa Ana, Sonora.</t>
  </si>
  <si>
    <r>
      <t xml:space="preserve">CONCILIACION DEL SALDO DE LA CUENTA </t>
    </r>
    <r>
      <rPr>
        <u/>
        <sz val="10"/>
        <rFont val="Tahoma"/>
        <family val="2"/>
      </rPr>
      <t>0279791546</t>
    </r>
    <r>
      <rPr>
        <sz val="10"/>
        <rFont val="Tahoma"/>
        <family val="2"/>
      </rPr>
      <t xml:space="preserve"> DEL BANCO DE BANORTE</t>
    </r>
  </si>
  <si>
    <t xml:space="preserve">                    Ingresos por Ejercer</t>
  </si>
  <si>
    <t xml:space="preserve">                   Importe a Justificar</t>
  </si>
  <si>
    <t>Dep/</t>
  </si>
  <si>
    <t>Descripcion del Gasto</t>
  </si>
  <si>
    <t xml:space="preserve">Presupuesto </t>
  </si>
  <si>
    <t>Ejercido</t>
  </si>
  <si>
    <t>Variacion</t>
  </si>
  <si>
    <t>% Por</t>
  </si>
  <si>
    <t>Clave</t>
  </si>
  <si>
    <t>al Periodo</t>
  </si>
  <si>
    <t>al periodo</t>
  </si>
  <si>
    <t>Rubro</t>
  </si>
  <si>
    <t>SEGURIDAD PUBLICA</t>
  </si>
  <si>
    <t>Sueldos</t>
  </si>
  <si>
    <t>Remuneraciones Diversas</t>
  </si>
  <si>
    <t>Sueldo Base al Personal Eventual</t>
  </si>
  <si>
    <t>Primas y Acred por años de Serv. Efect. prestados</t>
  </si>
  <si>
    <t>Prima Vacacional</t>
  </si>
  <si>
    <t>Gratificación de Fin de Año</t>
  </si>
  <si>
    <t>Remuneraciones por Horas Extraordinarias</t>
  </si>
  <si>
    <t>Estimulos al Personal de Confianza</t>
  </si>
  <si>
    <t>Bono de Productividad</t>
  </si>
  <si>
    <t>Bono por Despensa</t>
  </si>
  <si>
    <t>Otras Prestaciones</t>
  </si>
  <si>
    <t>Estimulos al Personal</t>
  </si>
  <si>
    <t>Combustibles</t>
  </si>
  <si>
    <t>Lubricantes y Aditivos</t>
  </si>
  <si>
    <t>Vestuarios y Uniformes</t>
  </si>
  <si>
    <t>TOTAL</t>
  </si>
  <si>
    <t>Declaramos bajo protesta de decir verdad que los estados financieros y sus notas son razonablemente correctos y son propiedad del emisor</t>
  </si>
  <si>
    <t xml:space="preserve">          __________________________________</t>
  </si>
  <si>
    <t xml:space="preserve">            ____________________________________</t>
  </si>
  <si>
    <t xml:space="preserve">            ARQ. Javier Francisco Moreno Davila</t>
  </si>
  <si>
    <t xml:space="preserve">               C. P.  Luis Vea Machado</t>
  </si>
  <si>
    <t xml:space="preserve">                       Presidente Municipal</t>
  </si>
  <si>
    <t xml:space="preserve">                           Tesorero Municipal</t>
  </si>
  <si>
    <t>Saldo conciliado en bancos al inicio del ejercicio 01/01/2017.</t>
  </si>
  <si>
    <t>8270-251-02-108-26101-1</t>
  </si>
  <si>
    <t>8270-251-01-108-11301-1</t>
  </si>
  <si>
    <t>8270-251-01-108-11303-1</t>
  </si>
  <si>
    <t>8270-251-01-108-12201-1</t>
  </si>
  <si>
    <t>8270-251-01-108-13101-1</t>
  </si>
  <si>
    <t>8270-251-01-108-13201-1</t>
  </si>
  <si>
    <t>8270-251-01-108-13202-1</t>
  </si>
  <si>
    <t>8270-251-01-108-13403-1</t>
  </si>
  <si>
    <t>8270-251-01-108-13404-1</t>
  </si>
  <si>
    <t>8270-251-01-108-15409-1</t>
  </si>
  <si>
    <t>8270-251-01-108-15901-1</t>
  </si>
  <si>
    <t>8270-251-01-108-17102-1</t>
  </si>
  <si>
    <t>Mat. Utiles y eqpo menores oficina</t>
  </si>
  <si>
    <t>8270-251-02-108-21101-1</t>
  </si>
  <si>
    <t>8270-251-02-108-21201-1</t>
  </si>
  <si>
    <t>8270-251-02-108-22102-1</t>
  </si>
  <si>
    <t>Materiales y utiles de Impresión y reproduccion</t>
  </si>
  <si>
    <t>Alim de personas en proceso de readaptacion</t>
  </si>
  <si>
    <t>8270-251-02-108-25301-1</t>
  </si>
  <si>
    <t>Medicinas y productos farmaceuticos</t>
  </si>
  <si>
    <t>8270-251-02-108-26102-1</t>
  </si>
  <si>
    <t>8270-251-02-108-27101-1</t>
  </si>
  <si>
    <t>8270-251-02-108-27201-1</t>
  </si>
  <si>
    <t>Prendas de seguridad y proteccion personal</t>
  </si>
  <si>
    <t>8270-251-02-108-28201-1</t>
  </si>
  <si>
    <t>Material de Seguridad Publica</t>
  </si>
  <si>
    <t>8270-251-03-108-31101-1</t>
  </si>
  <si>
    <t>Energia Electrica</t>
  </si>
  <si>
    <t>8270-251-03-108-31104-1</t>
  </si>
  <si>
    <t>Servicio Alumbrado Publico</t>
  </si>
  <si>
    <t>8270-251-03-108-31401-1</t>
  </si>
  <si>
    <t>Telefonia tradicional</t>
  </si>
  <si>
    <t>8270-251-03-108-31501-1</t>
  </si>
  <si>
    <t>Telefonia celular</t>
  </si>
  <si>
    <t>8270-251-03-108-33101-1</t>
  </si>
  <si>
    <t>Servicios legales, de contabilidad, auditorias y relacionados</t>
  </si>
  <si>
    <t>8270-251-03-108-34401-1</t>
  </si>
  <si>
    <t>Seguros de responsabilidad patrimonial y finanzas</t>
  </si>
  <si>
    <t>8270-251-03-108-35101-1</t>
  </si>
  <si>
    <t>Mantenimiento y conservacion de inmuebles</t>
  </si>
  <si>
    <t>8270-251-03-108-35201-1</t>
  </si>
  <si>
    <t>Mantenimiento y conservacion de Mob y equipo</t>
  </si>
  <si>
    <t>8270-251-03-108-35501-1</t>
  </si>
  <si>
    <t>Mantenimiento y conservcion Eqpo Transporte</t>
  </si>
  <si>
    <t>8270-251-03-108-37501-1</t>
  </si>
  <si>
    <t>Viaticos en el Pais</t>
  </si>
  <si>
    <t>Mobiliario</t>
  </si>
  <si>
    <t>Bienes informaticos</t>
  </si>
  <si>
    <t>Otros Equipos de Transporte</t>
  </si>
  <si>
    <t>Sistemas de Aire acond. Refrigueracion y calefac.</t>
  </si>
  <si>
    <t>8270-251-09-108-92101-1</t>
  </si>
  <si>
    <t>Pago intereses a largo plazo</t>
  </si>
  <si>
    <t>SERVICIOS PERSONALES</t>
  </si>
  <si>
    <t>MATERIALES Y SUMINISTROS</t>
  </si>
  <si>
    <t>SERVICIOS GENERALES</t>
  </si>
  <si>
    <t>BIENES MUEBLES E INMUEBLES</t>
  </si>
  <si>
    <t>DEUDA PUBLICA</t>
  </si>
  <si>
    <t>FONDO DE FORTALECIMIENTO MUNICIPAL 2017</t>
  </si>
  <si>
    <t>8270-251-05-108-51101-2</t>
  </si>
  <si>
    <t>8270-251-05-108-51501-2</t>
  </si>
  <si>
    <t>8270-251-05-108-54901-2</t>
  </si>
  <si>
    <t>8270-251-05-108-56401-2</t>
  </si>
  <si>
    <t>Camaras Fotograficas y de video</t>
  </si>
  <si>
    <t>8270-251-05-108-52301-2</t>
  </si>
  <si>
    <t>8270-251-03-105-34101-1</t>
  </si>
  <si>
    <t>Servicios financieros y bancarios</t>
  </si>
  <si>
    <r>
      <t xml:space="preserve">CONCILIACION DEL SALDO DE LA CUENTA </t>
    </r>
    <r>
      <rPr>
        <u/>
        <sz val="10"/>
        <rFont val="Tahoma"/>
        <family val="2"/>
      </rPr>
      <t>0307778169</t>
    </r>
    <r>
      <rPr>
        <sz val="10"/>
        <rFont val="Tahoma"/>
        <family val="2"/>
      </rPr>
      <t xml:space="preserve"> DEL BANCO DE BANORTE</t>
    </r>
  </si>
  <si>
    <t>Mas: Ingresos recibidos del 1° de Enero al 30 Junio 2017.</t>
  </si>
  <si>
    <t>Mas: Otros depositos al 30 Junio 2017</t>
  </si>
  <si>
    <t>Menos: Gastos efectuados del 1° de Enero al 30 Junio 2017</t>
  </si>
  <si>
    <t>Menos: Saldos en Bancos al 30 Junio de 2017. Sdo Libros</t>
  </si>
  <si>
    <t>1112-01</t>
  </si>
  <si>
    <t>BANCOS</t>
  </si>
  <si>
    <t>1112-01-019</t>
  </si>
  <si>
    <t>Traspaso a cta 0307778169 FORTAMUN 2017</t>
  </si>
  <si>
    <t>1112-01-003</t>
  </si>
  <si>
    <t>Periodo: 01 Enero al 30 Junio 2017</t>
  </si>
  <si>
    <t>1112-01-028</t>
  </si>
  <si>
    <t>Cuenta Inversion 0307779885 FORTAMUN 2017</t>
  </si>
  <si>
    <t xml:space="preserve">Proteccion de saldos por laudos </t>
  </si>
  <si>
    <t>Saldo conciliado en bancos al inicio del ejercicio 31/03/2017.</t>
  </si>
  <si>
    <t>Mas: Otros depositos al 30 Septiembre 2017</t>
  </si>
  <si>
    <t>Menos: Saldos en Bancos al 30 Septiembre de 2017. Sdo Libros</t>
  </si>
  <si>
    <t>Periodo: 01 Enero al 30 Septiembre 2017</t>
  </si>
  <si>
    <t>Finiquitos</t>
  </si>
  <si>
    <t>Mas: Ingresos recibidos del 1° de Abril al 30 de Septiembre 2017.</t>
  </si>
  <si>
    <t>Menos: Gastos efectuados del 1° de Abril al 30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</si>
</sst>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s>
  <fonts count="14" x14ac:knownFonts="1">
    <font>
      <sz val="11"/>
      <color theme="1"/>
      <name val="Calibri"/>
      <family val="2"/>
      <scheme val="minor"/>
    </font>
    <font>
      <sz val="11"/>
      <color theme="1"/>
      <name val="Calibri"/>
      <family val="2"/>
      <scheme val="minor"/>
    </font>
    <font>
      <sz val="10"/>
      <name val="Arial"/>
      <family val="2"/>
    </font>
    <font>
      <b/>
      <sz val="10"/>
      <name val="Tahoma"/>
      <family val="2"/>
    </font>
    <font>
      <sz val="10"/>
      <name val="Tahoma"/>
      <family val="2"/>
    </font>
    <font>
      <u/>
      <sz val="10"/>
      <name val="Tahoma"/>
      <family val="2"/>
    </font>
    <font>
      <sz val="12"/>
      <name val="Tahoma"/>
      <family val="2"/>
    </font>
    <font>
      <sz val="10"/>
      <color indexed="8"/>
      <name val="Tahoma"/>
      <family val="2"/>
    </font>
    <font>
      <sz val="10"/>
      <color rgb="FFFF0000"/>
      <name val="Tahoma"/>
      <family val="2"/>
    </font>
    <font>
      <sz val="8"/>
      <name val="Arial"/>
      <family val="2"/>
    </font>
    <font>
      <sz val="11"/>
      <color indexed="8"/>
      <name val="Calibri"/>
      <family val="2"/>
    </font>
    <font>
      <sz val="10"/>
      <name val="Arial"/>
      <family val="2"/>
    </font>
    <font>
      <b/>
      <sz val="10"/>
      <color indexed="8"/>
      <name val="Tahoma"/>
      <family val="2"/>
    </font>
    <font>
      <sz val="9"/>
      <name val="Tahoma"/>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6">
    <xf numFmtId="0" fontId="0" fillId="0" borderId="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53">
    <xf numFmtId="0" fontId="0" fillId="0" borderId="0" xfId="0"/>
    <xf numFmtId="0" fontId="4" fillId="0" borderId="0" xfId="1" applyFont="1"/>
    <xf numFmtId="4" fontId="4" fillId="0" borderId="0" xfId="1" applyNumberFormat="1" applyFont="1" applyFill="1"/>
    <xf numFmtId="4" fontId="4" fillId="0" borderId="0" xfId="1" applyNumberFormat="1" applyFont="1"/>
    <xf numFmtId="4" fontId="3" fillId="0" borderId="0" xfId="1" applyNumberFormat="1" applyFont="1" applyAlignment="1">
      <alignment horizontal="right"/>
    </xf>
    <xf numFmtId="0" fontId="3" fillId="0" borderId="0" xfId="1" applyFont="1"/>
    <xf numFmtId="4" fontId="3" fillId="0" borderId="0" xfId="1" applyNumberFormat="1" applyFont="1" applyFill="1"/>
    <xf numFmtId="4" fontId="4" fillId="0" borderId="0" xfId="2" applyNumberFormat="1" applyFont="1" applyFill="1"/>
    <xf numFmtId="0" fontId="6" fillId="0" borderId="1" xfId="1" applyFont="1" applyBorder="1" applyAlignment="1">
      <alignment horizontal="center"/>
    </xf>
    <xf numFmtId="0" fontId="6" fillId="0" borderId="2" xfId="1" applyFont="1" applyBorder="1" applyAlignment="1">
      <alignment horizontal="center"/>
    </xf>
    <xf numFmtId="4" fontId="6" fillId="0" borderId="2" xfId="1" applyNumberFormat="1" applyFont="1" applyFill="1" applyBorder="1" applyAlignment="1">
      <alignment horizontal="center"/>
    </xf>
    <xf numFmtId="4" fontId="6" fillId="0" borderId="2" xfId="1" applyNumberFormat="1" applyFont="1" applyBorder="1" applyAlignment="1">
      <alignment horizontal="center"/>
    </xf>
    <xf numFmtId="0" fontId="4" fillId="0" borderId="3" xfId="1" applyFont="1" applyBorder="1" applyAlignment="1">
      <alignment horizontal="center"/>
    </xf>
    <xf numFmtId="0" fontId="6" fillId="0" borderId="4" xfId="1" applyFont="1" applyBorder="1" applyAlignment="1">
      <alignment horizontal="center"/>
    </xf>
    <xf numFmtId="0" fontId="6" fillId="0" borderId="5" xfId="1" applyFont="1" applyBorder="1"/>
    <xf numFmtId="4" fontId="6" fillId="0" borderId="5" xfId="1" applyNumberFormat="1" applyFont="1" applyFill="1" applyBorder="1" applyAlignment="1">
      <alignment horizontal="center"/>
    </xf>
    <xf numFmtId="4" fontId="6" fillId="0" borderId="5" xfId="1" applyNumberFormat="1" applyFont="1" applyBorder="1" applyAlignment="1">
      <alignment horizontal="center"/>
    </xf>
    <xf numFmtId="0" fontId="4" fillId="0" borderId="6" xfId="1" applyFont="1" applyBorder="1" applyAlignment="1">
      <alignment horizontal="center"/>
    </xf>
    <xf numFmtId="0" fontId="6" fillId="0" borderId="1" xfId="1" applyFont="1" applyFill="1" applyBorder="1" applyAlignment="1">
      <alignment horizontal="center"/>
    </xf>
    <xf numFmtId="0" fontId="6" fillId="0" borderId="2" xfId="1" applyFont="1" applyFill="1" applyBorder="1"/>
    <xf numFmtId="0" fontId="4" fillId="0" borderId="3" xfId="1" applyFont="1" applyFill="1" applyBorder="1" applyAlignment="1">
      <alignment horizontal="center"/>
    </xf>
    <xf numFmtId="0" fontId="4" fillId="0" borderId="7" xfId="1" applyFont="1" applyFill="1" applyBorder="1"/>
    <xf numFmtId="0" fontId="3" fillId="0" borderId="8" xfId="1" applyFont="1" applyFill="1" applyBorder="1" applyAlignment="1">
      <alignment horizontal="center"/>
    </xf>
    <xf numFmtId="4" fontId="3" fillId="0" borderId="8" xfId="1" applyNumberFormat="1" applyFont="1" applyFill="1" applyBorder="1"/>
    <xf numFmtId="2" fontId="3" fillId="0" borderId="9" xfId="1" applyNumberFormat="1" applyFont="1" applyFill="1" applyBorder="1"/>
    <xf numFmtId="49" fontId="7" fillId="0" borderId="7" xfId="3" applyNumberFormat="1" applyFont="1" applyFill="1" applyBorder="1" applyAlignment="1">
      <alignment horizontal="left" vertical="top" wrapText="1"/>
    </xf>
    <xf numFmtId="49" fontId="7" fillId="0" borderId="8" xfId="3" applyNumberFormat="1" applyFont="1" applyFill="1" applyBorder="1" applyAlignment="1">
      <alignment horizontal="left" vertical="top" wrapText="1"/>
    </xf>
    <xf numFmtId="4" fontId="4" fillId="0" borderId="8" xfId="2" applyNumberFormat="1" applyFont="1" applyFill="1" applyBorder="1"/>
    <xf numFmtId="4" fontId="4" fillId="0" borderId="8" xfId="1" applyNumberFormat="1" applyFont="1" applyFill="1" applyBorder="1"/>
    <xf numFmtId="0" fontId="4" fillId="0" borderId="9" xfId="1" applyFont="1" applyFill="1" applyBorder="1"/>
    <xf numFmtId="0" fontId="8" fillId="0" borderId="0" xfId="1" applyFont="1"/>
    <xf numFmtId="4" fontId="8" fillId="0" borderId="0" xfId="1" applyNumberFormat="1" applyFont="1"/>
    <xf numFmtId="10" fontId="4" fillId="0" borderId="9" xfId="1" applyNumberFormat="1" applyFont="1" applyFill="1" applyBorder="1"/>
    <xf numFmtId="4" fontId="3" fillId="0" borderId="8" xfId="2" applyNumberFormat="1" applyFont="1" applyFill="1" applyBorder="1"/>
    <xf numFmtId="4" fontId="4" fillId="0" borderId="0" xfId="2" applyNumberFormat="1" applyFont="1" applyFill="1" applyBorder="1"/>
    <xf numFmtId="0" fontId="4" fillId="0" borderId="7" xfId="1" applyFont="1" applyFill="1" applyBorder="1" applyAlignment="1">
      <alignment horizontal="center"/>
    </xf>
    <xf numFmtId="0" fontId="4" fillId="0" borderId="8" xfId="1" applyFont="1" applyFill="1" applyBorder="1"/>
    <xf numFmtId="0" fontId="4" fillId="0" borderId="10" xfId="1" applyFont="1" applyFill="1" applyBorder="1"/>
    <xf numFmtId="0" fontId="3" fillId="0" borderId="11" xfId="1" applyFont="1" applyFill="1" applyBorder="1" applyAlignment="1">
      <alignment horizontal="right"/>
    </xf>
    <xf numFmtId="4" fontId="3" fillId="0" borderId="11" xfId="2" applyNumberFormat="1" applyFont="1" applyFill="1" applyBorder="1"/>
    <xf numFmtId="4" fontId="3" fillId="0" borderId="11" xfId="1" applyNumberFormat="1" applyFont="1" applyFill="1" applyBorder="1"/>
    <xf numFmtId="2" fontId="3" fillId="0" borderId="12" xfId="1" applyNumberFormat="1" applyFont="1" applyFill="1" applyBorder="1"/>
    <xf numFmtId="4" fontId="4" fillId="0" borderId="0" xfId="1" applyNumberFormat="1" applyFont="1" applyFill="1" applyAlignment="1"/>
    <xf numFmtId="4" fontId="4" fillId="0" borderId="0" xfId="1" applyNumberFormat="1" applyFont="1" applyAlignment="1"/>
    <xf numFmtId="4" fontId="3" fillId="0" borderId="0" xfId="1" applyNumberFormat="1" applyFont="1" applyFill="1" applyAlignment="1"/>
    <xf numFmtId="0" fontId="4" fillId="0" borderId="8" xfId="1" applyFont="1" applyFill="1" applyBorder="1" applyAlignment="1">
      <alignment horizontal="left"/>
    </xf>
    <xf numFmtId="2" fontId="4" fillId="0" borderId="9" xfId="1" applyNumberFormat="1" applyFont="1" applyFill="1" applyBorder="1"/>
    <xf numFmtId="49" fontId="12" fillId="0" borderId="8" xfId="3" applyNumberFormat="1" applyFont="1" applyFill="1" applyBorder="1" applyAlignment="1">
      <alignment horizontal="center" vertical="top" wrapText="1"/>
    </xf>
    <xf numFmtId="0" fontId="13" fillId="0" borderId="0" xfId="1" applyFont="1"/>
    <xf numFmtId="49" fontId="12" fillId="0" borderId="8" xfId="3" applyNumberFormat="1" applyFont="1" applyFill="1" applyBorder="1" applyAlignment="1">
      <alignment horizontal="center" vertical="center" wrapText="1"/>
    </xf>
    <xf numFmtId="49" fontId="12" fillId="0" borderId="7" xfId="3" applyNumberFormat="1" applyFont="1" applyFill="1" applyBorder="1" applyAlignment="1">
      <alignment horizontal="left" vertical="top" wrapText="1"/>
    </xf>
    <xf numFmtId="49" fontId="12" fillId="0" borderId="8" xfId="3" applyNumberFormat="1" applyFont="1" applyFill="1" applyBorder="1" applyAlignment="1">
      <alignment horizontal="left" vertical="top" wrapText="1"/>
    </xf>
    <xf numFmtId="0" fontId="3" fillId="0" borderId="0" xfId="1" applyFont="1" applyAlignment="1">
      <alignment horizontal="center"/>
    </xf>
  </cellXfs>
  <cellStyles count="36">
    <cellStyle name="Comma 2" xfId="4"/>
    <cellStyle name="Comma 3" xfId="5"/>
    <cellStyle name="Comma 3 2" xfId="6"/>
    <cellStyle name="Comma 4" xfId="7"/>
    <cellStyle name="Currency 2" xfId="8"/>
    <cellStyle name="Currency 3" xfId="9"/>
    <cellStyle name="Currency 4" xfId="10"/>
    <cellStyle name="Currency 4 2" xfId="11"/>
    <cellStyle name="Currency 5" xfId="12"/>
    <cellStyle name="Euro" xfId="13"/>
    <cellStyle name="Euro 2" xfId="14"/>
    <cellStyle name="Euro 3" xfId="15"/>
    <cellStyle name="Euro 4" xfId="16"/>
    <cellStyle name="Millares 2" xfId="17"/>
    <cellStyle name="Millares 3" xfId="18"/>
    <cellStyle name="Millares 4" xfId="19"/>
    <cellStyle name="Millares 4 2" xfId="20"/>
    <cellStyle name="Moneda 2" xfId="21"/>
    <cellStyle name="Moneda 3" xfId="22"/>
    <cellStyle name="Moneda 3 2" xfId="23"/>
    <cellStyle name="Moneda_ANEXOS 4to Trim 09 3 2" xfId="2"/>
    <cellStyle name="Normal" xfId="0" builtinId="0"/>
    <cellStyle name="Normal 2" xfId="3"/>
    <cellStyle name="Normal 2 2" xfId="24"/>
    <cellStyle name="Normal 3" xfId="25"/>
    <cellStyle name="Normal 4" xfId="26"/>
    <cellStyle name="Normal 5" xfId="27"/>
    <cellStyle name="Normal 6" xfId="28"/>
    <cellStyle name="Normal 7" xfId="29"/>
    <cellStyle name="Normal_ANEXOS 4to Trim 09" xfId="1"/>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NICIPIO%202DOTRIM%202016/Anexos%20II%20Trimestre%202016%20Santa%20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
      <sheetName val="Anexo2"/>
      <sheetName val="Anexo3"/>
      <sheetName val="Anexo4"/>
      <sheetName val="Anexo5"/>
      <sheetName val="Anexo6"/>
      <sheetName val="Anexo7"/>
      <sheetName val="Anexo8"/>
      <sheetName val="justanexo8"/>
      <sheetName val="anexo 8a"/>
      <sheetName val="Anexo9"/>
      <sheetName val="justanexo9"/>
      <sheetName val="Anexo9a"/>
      <sheetName val="Anexo10"/>
      <sheetName val="Anexo11"/>
      <sheetName val="justanexo11"/>
      <sheetName val="Anexo12"/>
      <sheetName val="Anexo13"/>
      <sheetName val="Justanexo13"/>
      <sheetName val="Anexo14 Bancomer. fism"/>
      <sheetName val="Just anexo 14 bancomer"/>
      <sheetName val="Anexo14 banorte fism"/>
      <sheetName val="Just Anexo14"/>
      <sheetName val="Anexo15 banorte"/>
      <sheetName val="Justanexo15"/>
      <sheetName val="Anexo15 bancomer"/>
      <sheetName val="Justanexo.15"/>
      <sheetName val="Anexo 16"/>
      <sheetName val="Anexo17"/>
      <sheetName val="justanexo17"/>
      <sheetName val="Anexo17a"/>
      <sheetName val="Anexo 18"/>
      <sheetName val="Justanexo18"/>
    </sheetNames>
    <sheetDataSet>
      <sheetData sheetId="0" refreshError="1">
        <row r="719">
          <cell r="M719">
            <v>1147478.31</v>
          </cell>
        </row>
        <row r="731">
          <cell r="M73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4"/>
  <sheetViews>
    <sheetView workbookViewId="0">
      <selection activeCell="A2" sqref="A2:E2"/>
    </sheetView>
  </sheetViews>
  <sheetFormatPr baseColWidth="10" defaultColWidth="9.140625" defaultRowHeight="12.75" x14ac:dyDescent="0.2"/>
  <cols>
    <col min="1" max="1" width="24.5703125" style="1" customWidth="1"/>
    <col min="2" max="2" width="41" style="1" customWidth="1"/>
    <col min="3" max="3" width="15.28515625" style="2" customWidth="1"/>
    <col min="4" max="4" width="16.5703125" style="2" customWidth="1"/>
    <col min="5" max="5" width="16.7109375" style="3" customWidth="1"/>
    <col min="6" max="6" width="10.5703125" style="1" customWidth="1"/>
    <col min="7" max="7" width="9.140625" style="1" customWidth="1"/>
    <col min="8" max="8" width="13.140625" style="1" customWidth="1"/>
    <col min="9" max="9" width="9.140625" style="1"/>
    <col min="10" max="10" width="10.140625" style="1" bestFit="1" customWidth="1"/>
    <col min="11" max="16384" width="9.140625" style="1"/>
  </cols>
  <sheetData>
    <row r="1" spans="1:8" x14ac:dyDescent="0.2">
      <c r="A1" s="52" t="s">
        <v>0</v>
      </c>
      <c r="B1" s="52"/>
      <c r="C1" s="52"/>
      <c r="D1" s="52"/>
      <c r="E1" s="52"/>
    </row>
    <row r="2" spans="1:8" x14ac:dyDescent="0.2">
      <c r="A2" s="52" t="s">
        <v>99</v>
      </c>
      <c r="B2" s="52"/>
      <c r="C2" s="52"/>
      <c r="D2" s="52"/>
      <c r="E2" s="52"/>
    </row>
    <row r="3" spans="1:8" x14ac:dyDescent="0.2">
      <c r="A3" s="52" t="s">
        <v>1</v>
      </c>
      <c r="B3" s="52"/>
      <c r="C3" s="52"/>
      <c r="D3" s="52"/>
      <c r="E3" s="52"/>
    </row>
    <row r="4" spans="1:8" x14ac:dyDescent="0.2">
      <c r="F4" s="4" t="s">
        <v>2</v>
      </c>
    </row>
    <row r="5" spans="1:8" x14ac:dyDescent="0.2">
      <c r="A5" s="5" t="s">
        <v>3</v>
      </c>
      <c r="C5" s="6" t="s">
        <v>118</v>
      </c>
    </row>
    <row r="7" spans="1:8" x14ac:dyDescent="0.2">
      <c r="A7" s="1" t="s">
        <v>4</v>
      </c>
    </row>
    <row r="8" spans="1:8" x14ac:dyDescent="0.2">
      <c r="A8" s="1" t="s">
        <v>41</v>
      </c>
      <c r="D8" s="7">
        <v>115062.24</v>
      </c>
    </row>
    <row r="9" spans="1:8" x14ac:dyDescent="0.2">
      <c r="A9" s="1" t="s">
        <v>109</v>
      </c>
      <c r="D9" s="7">
        <f>751607.67+750672.67</f>
        <v>1502280.34</v>
      </c>
      <c r="H9" s="3"/>
    </row>
    <row r="10" spans="1:8" x14ac:dyDescent="0.2">
      <c r="A10" s="1" t="s">
        <v>110</v>
      </c>
      <c r="D10" s="7">
        <f>141693+71054+0.24+42000+71500</f>
        <v>326247.24</v>
      </c>
    </row>
    <row r="11" spans="1:8" x14ac:dyDescent="0.2">
      <c r="A11" s="1" t="s">
        <v>111</v>
      </c>
      <c r="D11" s="7">
        <f>D66</f>
        <v>1943589.82</v>
      </c>
      <c r="H11" s="3"/>
    </row>
    <row r="12" spans="1:8" x14ac:dyDescent="0.2">
      <c r="A12" s="5" t="s">
        <v>5</v>
      </c>
      <c r="D12" s="7">
        <f>D8+D9+D10-D11</f>
        <v>0</v>
      </c>
      <c r="H12" s="7"/>
    </row>
    <row r="13" spans="1:8" x14ac:dyDescent="0.2">
      <c r="A13" s="1" t="s">
        <v>112</v>
      </c>
      <c r="D13" s="7">
        <v>0</v>
      </c>
    </row>
    <row r="14" spans="1:8" ht="13.5" thickBot="1" x14ac:dyDescent="0.25">
      <c r="A14" s="5" t="s">
        <v>6</v>
      </c>
      <c r="D14" s="7">
        <f>+D13-D12</f>
        <v>0</v>
      </c>
      <c r="H14" s="7"/>
    </row>
    <row r="15" spans="1:8" ht="12.75" customHeight="1" x14ac:dyDescent="0.2">
      <c r="A15" s="8" t="s">
        <v>7</v>
      </c>
      <c r="B15" s="9" t="s">
        <v>8</v>
      </c>
      <c r="C15" s="10" t="s">
        <v>9</v>
      </c>
      <c r="D15" s="10" t="s">
        <v>10</v>
      </c>
      <c r="E15" s="11" t="s">
        <v>11</v>
      </c>
      <c r="F15" s="12" t="s">
        <v>12</v>
      </c>
    </row>
    <row r="16" spans="1:8" ht="12.75" customHeight="1" thickBot="1" x14ac:dyDescent="0.25">
      <c r="A16" s="13" t="s">
        <v>13</v>
      </c>
      <c r="B16" s="14"/>
      <c r="C16" s="15" t="s">
        <v>14</v>
      </c>
      <c r="D16" s="15" t="s">
        <v>15</v>
      </c>
      <c r="E16" s="16"/>
      <c r="F16" s="17" t="s">
        <v>16</v>
      </c>
    </row>
    <row r="17" spans="1:10" ht="12.75" customHeight="1" x14ac:dyDescent="0.2">
      <c r="A17" s="18"/>
      <c r="B17" s="19"/>
      <c r="C17" s="10"/>
      <c r="D17" s="10"/>
      <c r="E17" s="10"/>
      <c r="F17" s="20"/>
    </row>
    <row r="18" spans="1:10" ht="12.75" customHeight="1" x14ac:dyDescent="0.2">
      <c r="A18" s="21"/>
      <c r="B18" s="22" t="s">
        <v>17</v>
      </c>
      <c r="C18" s="23">
        <f>+C19+C32+C42+C54+C60</f>
        <v>3363918.92</v>
      </c>
      <c r="D18" s="23">
        <f>+D19+D32+D42+D54+D60+D62</f>
        <v>1943589.82</v>
      </c>
      <c r="E18" s="23">
        <f>C18-D18</f>
        <v>1420329.0999999999</v>
      </c>
      <c r="F18" s="24">
        <f t="shared" ref="F18:F61" si="0">(D18/$D$66)*100</f>
        <v>100</v>
      </c>
    </row>
    <row r="19" spans="1:10" ht="12.75" customHeight="1" x14ac:dyDescent="0.2">
      <c r="A19" s="21"/>
      <c r="B19" s="22" t="s">
        <v>94</v>
      </c>
      <c r="C19" s="23">
        <f>SUM(C20:C31)</f>
        <v>814329</v>
      </c>
      <c r="D19" s="23">
        <f>SUM(D20:D31)</f>
        <v>986941.97000000009</v>
      </c>
      <c r="E19" s="23">
        <f>C19-D19</f>
        <v>-172612.97000000009</v>
      </c>
      <c r="F19" s="24">
        <f t="shared" si="0"/>
        <v>50.779334190997147</v>
      </c>
    </row>
    <row r="20" spans="1:10" ht="12.75" customHeight="1" x14ac:dyDescent="0.2">
      <c r="A20" s="25" t="s">
        <v>43</v>
      </c>
      <c r="B20" s="26" t="s">
        <v>18</v>
      </c>
      <c r="C20" s="27">
        <f>2264652/12*(3)</f>
        <v>566163</v>
      </c>
      <c r="D20" s="27">
        <f>562905.04-98178.44</f>
        <v>464726.60000000003</v>
      </c>
      <c r="E20" s="28">
        <f t="shared" ref="E20:E46" si="1">C20-D20</f>
        <v>101436.39999999997</v>
      </c>
      <c r="F20" s="46">
        <f t="shared" si="0"/>
        <v>23.910734416174297</v>
      </c>
      <c r="H20" s="3"/>
      <c r="J20" s="30"/>
    </row>
    <row r="21" spans="1:10" ht="12.75" customHeight="1" x14ac:dyDescent="0.2">
      <c r="A21" s="25" t="s">
        <v>44</v>
      </c>
      <c r="B21" s="26" t="s">
        <v>19</v>
      </c>
      <c r="C21" s="27">
        <f>298824/12*(3)</f>
        <v>74706</v>
      </c>
      <c r="D21" s="27">
        <f>77206-12951</f>
        <v>64255</v>
      </c>
      <c r="E21" s="28">
        <f t="shared" si="1"/>
        <v>10451</v>
      </c>
      <c r="F21" s="46">
        <f t="shared" si="0"/>
        <v>3.3059959122444882</v>
      </c>
      <c r="H21" s="3"/>
      <c r="J21" s="30"/>
    </row>
    <row r="22" spans="1:10" ht="12.75" customHeight="1" x14ac:dyDescent="0.2">
      <c r="A22" s="25" t="s">
        <v>45</v>
      </c>
      <c r="B22" s="26" t="s">
        <v>20</v>
      </c>
      <c r="C22" s="28">
        <f>57000/12*(3)</f>
        <v>14250</v>
      </c>
      <c r="D22" s="27">
        <f>233277.81-38856</f>
        <v>194421.81</v>
      </c>
      <c r="E22" s="28">
        <f t="shared" si="1"/>
        <v>-180171.81</v>
      </c>
      <c r="F22" s="46">
        <f t="shared" si="0"/>
        <v>10.003232575070802</v>
      </c>
      <c r="J22" s="31"/>
    </row>
    <row r="23" spans="1:10" ht="12.75" customHeight="1" x14ac:dyDescent="0.2">
      <c r="A23" s="25" t="s">
        <v>46</v>
      </c>
      <c r="B23" s="26" t="s">
        <v>21</v>
      </c>
      <c r="C23" s="28">
        <v>0</v>
      </c>
      <c r="D23" s="27">
        <v>0</v>
      </c>
      <c r="E23" s="28">
        <f t="shared" si="1"/>
        <v>0</v>
      </c>
      <c r="F23" s="46">
        <f t="shared" si="0"/>
        <v>0</v>
      </c>
      <c r="J23" s="30"/>
    </row>
    <row r="24" spans="1:10" ht="12.75" customHeight="1" x14ac:dyDescent="0.2">
      <c r="A24" s="25" t="s">
        <v>47</v>
      </c>
      <c r="B24" s="26" t="s">
        <v>22</v>
      </c>
      <c r="C24" s="28">
        <v>0</v>
      </c>
      <c r="D24" s="28">
        <v>7781.95</v>
      </c>
      <c r="E24" s="28">
        <f t="shared" si="1"/>
        <v>-7781.95</v>
      </c>
      <c r="F24" s="46">
        <f t="shared" si="0"/>
        <v>0.40039055154137404</v>
      </c>
      <c r="J24" s="30"/>
    </row>
    <row r="25" spans="1:10" ht="12.75" customHeight="1" x14ac:dyDescent="0.2">
      <c r="A25" s="25" t="s">
        <v>48</v>
      </c>
      <c r="B25" s="26" t="s">
        <v>23</v>
      </c>
      <c r="C25" s="28">
        <v>0</v>
      </c>
      <c r="D25" s="28">
        <v>0</v>
      </c>
      <c r="E25" s="28">
        <f t="shared" si="1"/>
        <v>0</v>
      </c>
      <c r="F25" s="46">
        <f t="shared" si="0"/>
        <v>0</v>
      </c>
      <c r="J25" s="30"/>
    </row>
    <row r="26" spans="1:10" ht="12.75" customHeight="1" x14ac:dyDescent="0.2">
      <c r="A26" s="25" t="s">
        <v>48</v>
      </c>
      <c r="B26" s="26" t="s">
        <v>24</v>
      </c>
      <c r="C26" s="28">
        <v>0</v>
      </c>
      <c r="D26" s="28">
        <f>+[2]Anexo1!M731</f>
        <v>0</v>
      </c>
      <c r="E26" s="28">
        <f t="shared" si="1"/>
        <v>0</v>
      </c>
      <c r="F26" s="46">
        <f t="shared" si="0"/>
        <v>0</v>
      </c>
    </row>
    <row r="27" spans="1:10" ht="12.75" customHeight="1" x14ac:dyDescent="0.2">
      <c r="A27" s="25" t="s">
        <v>49</v>
      </c>
      <c r="B27" s="26" t="s">
        <v>25</v>
      </c>
      <c r="C27" s="28">
        <f>244956/12*(3)</f>
        <v>61239</v>
      </c>
      <c r="D27" s="28">
        <f>61239-10206.5</f>
        <v>51032.5</v>
      </c>
      <c r="E27" s="28">
        <f t="shared" si="1"/>
        <v>10206.5</v>
      </c>
      <c r="F27" s="46">
        <f t="shared" si="0"/>
        <v>2.6256826144520558</v>
      </c>
      <c r="J27" s="30"/>
    </row>
    <row r="28" spans="1:10" ht="12.75" customHeight="1" x14ac:dyDescent="0.2">
      <c r="A28" s="25" t="s">
        <v>50</v>
      </c>
      <c r="B28" s="26" t="s">
        <v>26</v>
      </c>
      <c r="C28" s="28">
        <f>1000*(3)</f>
        <v>3000</v>
      </c>
      <c r="D28" s="28">
        <v>5534.61</v>
      </c>
      <c r="E28" s="28">
        <f t="shared" si="1"/>
        <v>-2534.6099999999997</v>
      </c>
      <c r="F28" s="46">
        <f t="shared" si="0"/>
        <v>0.28476224474153705</v>
      </c>
      <c r="J28" s="30"/>
    </row>
    <row r="29" spans="1:10" ht="12.75" customHeight="1" x14ac:dyDescent="0.2">
      <c r="A29" s="25" t="s">
        <v>51</v>
      </c>
      <c r="B29" s="26" t="s">
        <v>27</v>
      </c>
      <c r="C29" s="28">
        <f>2469*(3)</f>
        <v>7407</v>
      </c>
      <c r="D29" s="28">
        <v>0</v>
      </c>
      <c r="E29" s="28">
        <f t="shared" si="1"/>
        <v>7407</v>
      </c>
      <c r="F29" s="46">
        <f t="shared" si="0"/>
        <v>0</v>
      </c>
      <c r="J29" s="30"/>
    </row>
    <row r="30" spans="1:10" ht="12.75" customHeight="1" x14ac:dyDescent="0.2">
      <c r="A30" s="25" t="s">
        <v>52</v>
      </c>
      <c r="B30" s="26" t="s">
        <v>28</v>
      </c>
      <c r="C30" s="28">
        <f>223380/12*(3)</f>
        <v>55845</v>
      </c>
      <c r="D30" s="28">
        <f>55838.4-9306.4</f>
        <v>46532</v>
      </c>
      <c r="E30" s="28">
        <f t="shared" si="1"/>
        <v>9313</v>
      </c>
      <c r="F30" s="46">
        <f t="shared" si="0"/>
        <v>2.3941265549538637</v>
      </c>
      <c r="J30" s="30"/>
    </row>
    <row r="31" spans="1:10" ht="12.75" customHeight="1" x14ac:dyDescent="0.2">
      <c r="A31" s="25" t="s">
        <v>53</v>
      </c>
      <c r="B31" s="26" t="s">
        <v>29</v>
      </c>
      <c r="C31" s="28">
        <f>126876/12*(3)</f>
        <v>31719</v>
      </c>
      <c r="D31" s="28">
        <f>183189-30531.5</f>
        <v>152657.5</v>
      </c>
      <c r="E31" s="28">
        <f t="shared" si="1"/>
        <v>-120938.5</v>
      </c>
      <c r="F31" s="46">
        <f t="shared" si="0"/>
        <v>7.8544093218187365</v>
      </c>
      <c r="J31" s="30"/>
    </row>
    <row r="32" spans="1:10" ht="12.75" customHeight="1" x14ac:dyDescent="0.2">
      <c r="A32" s="25"/>
      <c r="B32" s="47" t="s">
        <v>95</v>
      </c>
      <c r="C32" s="23">
        <f>SUM(C33:C41)</f>
        <v>191700</v>
      </c>
      <c r="D32" s="23">
        <f>SUM(D33:D41)</f>
        <v>240043.13</v>
      </c>
      <c r="E32" s="23">
        <f t="shared" si="1"/>
        <v>-48343.130000000005</v>
      </c>
      <c r="F32" s="24">
        <f t="shared" si="0"/>
        <v>12.350503564584423</v>
      </c>
      <c r="J32" s="30"/>
    </row>
    <row r="33" spans="1:10" ht="12.75" customHeight="1" x14ac:dyDescent="0.2">
      <c r="A33" s="25" t="s">
        <v>55</v>
      </c>
      <c r="B33" s="26" t="s">
        <v>54</v>
      </c>
      <c r="C33" s="28">
        <f>120000/12*(3)</f>
        <v>30000</v>
      </c>
      <c r="D33" s="28">
        <f>5623.57-731.09+1472.39</f>
        <v>6364.87</v>
      </c>
      <c r="E33" s="28">
        <f t="shared" si="1"/>
        <v>23635.13</v>
      </c>
      <c r="F33" s="46">
        <f t="shared" si="0"/>
        <v>0.32748010585896153</v>
      </c>
      <c r="J33" s="30"/>
    </row>
    <row r="34" spans="1:10" ht="12.75" customHeight="1" x14ac:dyDescent="0.2">
      <c r="A34" s="25" t="s">
        <v>56</v>
      </c>
      <c r="B34" s="26" t="s">
        <v>58</v>
      </c>
      <c r="C34" s="28">
        <f>1000*(3)</f>
        <v>3000</v>
      </c>
      <c r="D34" s="28">
        <f>999.5+524</f>
        <v>1523.5</v>
      </c>
      <c r="E34" s="28">
        <f t="shared" si="1"/>
        <v>1476.5</v>
      </c>
      <c r="F34" s="46">
        <f t="shared" si="0"/>
        <v>7.8385880823351906E-2</v>
      </c>
      <c r="J34" s="30"/>
    </row>
    <row r="35" spans="1:10" ht="12.75" customHeight="1" x14ac:dyDescent="0.2">
      <c r="A35" s="25" t="s">
        <v>57</v>
      </c>
      <c r="B35" s="26" t="s">
        <v>59</v>
      </c>
      <c r="C35" s="28">
        <f>100*(3)</f>
        <v>300</v>
      </c>
      <c r="D35" s="28">
        <f>228+204+312</f>
        <v>744</v>
      </c>
      <c r="E35" s="28">
        <f t="shared" si="1"/>
        <v>-444</v>
      </c>
      <c r="F35" s="46">
        <f t="shared" si="0"/>
        <v>3.8279681872381899E-2</v>
      </c>
      <c r="J35" s="30"/>
    </row>
    <row r="36" spans="1:10" ht="12.75" customHeight="1" x14ac:dyDescent="0.2">
      <c r="A36" s="25" t="s">
        <v>60</v>
      </c>
      <c r="B36" s="26" t="s">
        <v>61</v>
      </c>
      <c r="C36" s="28">
        <f>100*(3)</f>
        <v>300</v>
      </c>
      <c r="D36" s="28">
        <v>5568</v>
      </c>
      <c r="E36" s="28">
        <f t="shared" si="1"/>
        <v>-5268</v>
      </c>
      <c r="F36" s="46">
        <f t="shared" si="0"/>
        <v>0.28648019981911615</v>
      </c>
      <c r="J36" s="30"/>
    </row>
    <row r="37" spans="1:10" ht="12.75" customHeight="1" x14ac:dyDescent="0.2">
      <c r="A37" s="25" t="s">
        <v>42</v>
      </c>
      <c r="B37" s="26" t="s">
        <v>30</v>
      </c>
      <c r="C37" s="28">
        <f>600000/12*(3)</f>
        <v>150000</v>
      </c>
      <c r="D37" s="28">
        <f>208642.48-1676.9+18156.18</f>
        <v>225121.76</v>
      </c>
      <c r="E37" s="28">
        <f t="shared" si="1"/>
        <v>-75121.760000000009</v>
      </c>
      <c r="F37" s="46">
        <f t="shared" si="0"/>
        <v>11.582781391600415</v>
      </c>
    </row>
    <row r="38" spans="1:10" ht="12.75" customHeight="1" x14ac:dyDescent="0.2">
      <c r="A38" s="25" t="s">
        <v>62</v>
      </c>
      <c r="B38" s="26" t="s">
        <v>31</v>
      </c>
      <c r="C38" s="28">
        <f>500*(3)</f>
        <v>1500</v>
      </c>
      <c r="D38" s="28">
        <f>841-120</f>
        <v>721</v>
      </c>
      <c r="E38" s="28">
        <f t="shared" si="1"/>
        <v>779</v>
      </c>
      <c r="F38" s="46">
        <f t="shared" si="0"/>
        <v>3.7096304610198048E-2</v>
      </c>
    </row>
    <row r="39" spans="1:10" ht="12.75" customHeight="1" x14ac:dyDescent="0.2">
      <c r="A39" s="25" t="s">
        <v>63</v>
      </c>
      <c r="B39" s="26" t="s">
        <v>32</v>
      </c>
      <c r="C39" s="28">
        <f>2000*(3)</f>
        <v>6000</v>
      </c>
      <c r="D39" s="28">
        <v>0</v>
      </c>
      <c r="E39" s="28">
        <f t="shared" si="1"/>
        <v>6000</v>
      </c>
      <c r="F39" s="46">
        <f t="shared" si="0"/>
        <v>0</v>
      </c>
    </row>
    <row r="40" spans="1:10" ht="12.75" customHeight="1" x14ac:dyDescent="0.2">
      <c r="A40" s="25" t="s">
        <v>64</v>
      </c>
      <c r="B40" s="26" t="s">
        <v>65</v>
      </c>
      <c r="C40" s="28">
        <f>100*(3)</f>
        <v>300</v>
      </c>
      <c r="D40" s="28">
        <v>0</v>
      </c>
      <c r="E40" s="28">
        <f t="shared" si="1"/>
        <v>300</v>
      </c>
      <c r="F40" s="46">
        <f t="shared" si="0"/>
        <v>0</v>
      </c>
    </row>
    <row r="41" spans="1:10" ht="12.75" customHeight="1" x14ac:dyDescent="0.2">
      <c r="A41" s="25" t="s">
        <v>66</v>
      </c>
      <c r="B41" s="26" t="s">
        <v>67</v>
      </c>
      <c r="C41" s="28">
        <f>100*(3)</f>
        <v>300</v>
      </c>
      <c r="D41" s="28">
        <v>0</v>
      </c>
      <c r="E41" s="28">
        <f t="shared" si="1"/>
        <v>300</v>
      </c>
      <c r="F41" s="46">
        <f t="shared" si="0"/>
        <v>0</v>
      </c>
    </row>
    <row r="42" spans="1:10" ht="12.75" customHeight="1" x14ac:dyDescent="0.2">
      <c r="A42" s="25"/>
      <c r="B42" s="47" t="s">
        <v>96</v>
      </c>
      <c r="C42" s="23">
        <f>SUM(C43:C53)</f>
        <v>2162889.92</v>
      </c>
      <c r="D42" s="23">
        <f>SUM(D43:D53)</f>
        <v>430036</v>
      </c>
      <c r="E42" s="23">
        <f t="shared" ref="E42" si="2">C42-D42</f>
        <v>1732853.92</v>
      </c>
      <c r="F42" s="24">
        <f t="shared" si="0"/>
        <v>22.125861926977986</v>
      </c>
    </row>
    <row r="43" spans="1:10" ht="12.75" customHeight="1" x14ac:dyDescent="0.2">
      <c r="A43" s="25" t="s">
        <v>68</v>
      </c>
      <c r="B43" s="26" t="s">
        <v>69</v>
      </c>
      <c r="C43" s="27">
        <f>300000/12*(3)</f>
        <v>75000</v>
      </c>
      <c r="D43" s="28">
        <v>45475.03</v>
      </c>
      <c r="E43" s="28">
        <f t="shared" si="1"/>
        <v>29524.97</v>
      </c>
      <c r="F43" s="46">
        <f t="shared" si="0"/>
        <v>2.3397441956142782</v>
      </c>
    </row>
    <row r="44" spans="1:10" ht="12.75" customHeight="1" x14ac:dyDescent="0.2">
      <c r="A44" s="25" t="s">
        <v>70</v>
      </c>
      <c r="B44" s="26" t="s">
        <v>71</v>
      </c>
      <c r="C44" s="27">
        <f>8056359.68/12*(3)</f>
        <v>2014089.92</v>
      </c>
      <c r="D44" s="28">
        <f>869999.98-586898.01</f>
        <v>283101.96999999997</v>
      </c>
      <c r="E44" s="28">
        <f t="shared" si="1"/>
        <v>1730987.95</v>
      </c>
      <c r="F44" s="46">
        <f t="shared" si="0"/>
        <v>14.565931920758876</v>
      </c>
    </row>
    <row r="45" spans="1:10" ht="12.75" customHeight="1" x14ac:dyDescent="0.2">
      <c r="A45" s="25" t="s">
        <v>72</v>
      </c>
      <c r="B45" s="26" t="s">
        <v>73</v>
      </c>
      <c r="C45" s="27">
        <f>72000/12*(3)</f>
        <v>18000</v>
      </c>
      <c r="D45" s="28">
        <v>7062.32</v>
      </c>
      <c r="E45" s="28">
        <f t="shared" si="1"/>
        <v>10937.68</v>
      </c>
      <c r="F45" s="46">
        <f t="shared" si="0"/>
        <v>0.36336473505505396</v>
      </c>
    </row>
    <row r="46" spans="1:10" ht="12.75" customHeight="1" x14ac:dyDescent="0.2">
      <c r="A46" s="25" t="s">
        <v>74</v>
      </c>
      <c r="B46" s="26" t="s">
        <v>75</v>
      </c>
      <c r="C46" s="27">
        <f>500*(3)</f>
        <v>1500</v>
      </c>
      <c r="D46" s="27">
        <v>0</v>
      </c>
      <c r="E46" s="28">
        <f t="shared" si="1"/>
        <v>1500</v>
      </c>
      <c r="F46" s="46">
        <f t="shared" si="0"/>
        <v>0</v>
      </c>
    </row>
    <row r="47" spans="1:10" ht="12.75" customHeight="1" x14ac:dyDescent="0.2">
      <c r="A47" s="25" t="s">
        <v>76</v>
      </c>
      <c r="B47" s="45" t="s">
        <v>77</v>
      </c>
      <c r="C47" s="27">
        <f>100*(3)</f>
        <v>300</v>
      </c>
      <c r="D47" s="27">
        <v>11948</v>
      </c>
      <c r="E47" s="28">
        <f>C47-D47</f>
        <v>-11648</v>
      </c>
      <c r="F47" s="46">
        <f t="shared" si="0"/>
        <v>0.61473876211185341</v>
      </c>
    </row>
    <row r="48" spans="1:10" ht="12.75" customHeight="1" x14ac:dyDescent="0.2">
      <c r="A48" s="25" t="s">
        <v>78</v>
      </c>
      <c r="B48" s="26" t="s">
        <v>79</v>
      </c>
      <c r="C48" s="27">
        <f>60000/12*(3)</f>
        <v>15000</v>
      </c>
      <c r="D48" s="27">
        <v>59124.19</v>
      </c>
      <c r="E48" s="28">
        <f t="shared" ref="E48:E61" si="3">C48-D48</f>
        <v>-44124.19</v>
      </c>
      <c r="F48" s="46">
        <f t="shared" si="0"/>
        <v>3.0420096561320742</v>
      </c>
    </row>
    <row r="49" spans="1:8" ht="12.75" customHeight="1" x14ac:dyDescent="0.2">
      <c r="A49" s="25" t="s">
        <v>80</v>
      </c>
      <c r="B49" s="26" t="s">
        <v>81</v>
      </c>
      <c r="C49" s="27">
        <f>1000*(3)</f>
        <v>3000</v>
      </c>
      <c r="D49" s="27">
        <v>0</v>
      </c>
      <c r="E49" s="28">
        <f t="shared" si="3"/>
        <v>3000</v>
      </c>
      <c r="F49" s="46">
        <f t="shared" si="0"/>
        <v>0</v>
      </c>
    </row>
    <row r="50" spans="1:8" ht="12.75" customHeight="1" x14ac:dyDescent="0.2">
      <c r="A50" s="25" t="s">
        <v>82</v>
      </c>
      <c r="B50" s="26" t="s">
        <v>83</v>
      </c>
      <c r="C50" s="27">
        <f>1000*(3)</f>
        <v>3000</v>
      </c>
      <c r="D50" s="27">
        <v>0</v>
      </c>
      <c r="E50" s="28">
        <f t="shared" si="3"/>
        <v>3000</v>
      </c>
      <c r="F50" s="46">
        <f t="shared" si="0"/>
        <v>0</v>
      </c>
    </row>
    <row r="51" spans="1:8" ht="12.75" customHeight="1" x14ac:dyDescent="0.2">
      <c r="A51" s="25" t="s">
        <v>84</v>
      </c>
      <c r="B51" s="26" t="s">
        <v>85</v>
      </c>
      <c r="C51" s="27">
        <f>120000/12*(3)</f>
        <v>30000</v>
      </c>
      <c r="D51" s="27">
        <f>24814.01-3420.03</f>
        <v>21393.98</v>
      </c>
      <c r="E51" s="28">
        <f t="shared" si="3"/>
        <v>8606.02</v>
      </c>
      <c r="F51" s="46">
        <f t="shared" si="0"/>
        <v>1.1007456295485227</v>
      </c>
    </row>
    <row r="52" spans="1:8" ht="12.75" customHeight="1" x14ac:dyDescent="0.2">
      <c r="A52" s="25" t="s">
        <v>86</v>
      </c>
      <c r="B52" s="26" t="s">
        <v>87</v>
      </c>
      <c r="C52" s="27">
        <f>500*(3)</f>
        <v>1500</v>
      </c>
      <c r="D52" s="27">
        <f>613-613</f>
        <v>0</v>
      </c>
      <c r="E52" s="28">
        <f t="shared" si="3"/>
        <v>1500</v>
      </c>
      <c r="F52" s="46">
        <f t="shared" si="0"/>
        <v>0</v>
      </c>
    </row>
    <row r="53" spans="1:8" ht="12.75" customHeight="1" x14ac:dyDescent="0.2">
      <c r="A53" s="25" t="s">
        <v>106</v>
      </c>
      <c r="B53" s="26" t="s">
        <v>107</v>
      </c>
      <c r="C53" s="27">
        <v>1500</v>
      </c>
      <c r="D53" s="27">
        <v>1930.51</v>
      </c>
      <c r="E53" s="28">
        <f t="shared" si="3"/>
        <v>-430.51</v>
      </c>
      <c r="F53" s="46">
        <f t="shared" si="0"/>
        <v>9.9327027757327935E-2</v>
      </c>
    </row>
    <row r="54" spans="1:8" ht="12.75" customHeight="1" x14ac:dyDescent="0.2">
      <c r="A54" s="25"/>
      <c r="B54" s="47" t="s">
        <v>97</v>
      </c>
      <c r="C54" s="33">
        <f>SUM(C55:C59)</f>
        <v>6000</v>
      </c>
      <c r="D54" s="33">
        <f>SUM(D55:D59)</f>
        <v>72454.759999999995</v>
      </c>
      <c r="E54" s="23">
        <f t="shared" ref="E54" si="4">C54-D54</f>
        <v>-66454.759999999995</v>
      </c>
      <c r="F54" s="24">
        <f t="shared" si="0"/>
        <v>3.7278832835212103</v>
      </c>
    </row>
    <row r="55" spans="1:8" ht="12.75" customHeight="1" x14ac:dyDescent="0.2">
      <c r="A55" s="25" t="s">
        <v>100</v>
      </c>
      <c r="B55" s="26" t="s">
        <v>88</v>
      </c>
      <c r="C55" s="27">
        <f>500*(3)</f>
        <v>1500</v>
      </c>
      <c r="D55" s="27">
        <v>0</v>
      </c>
      <c r="E55" s="28">
        <f t="shared" si="3"/>
        <v>1500</v>
      </c>
      <c r="F55" s="46">
        <f t="shared" si="0"/>
        <v>0</v>
      </c>
      <c r="H55" s="34"/>
    </row>
    <row r="56" spans="1:8" ht="12.75" customHeight="1" x14ac:dyDescent="0.2">
      <c r="A56" s="25" t="s">
        <v>101</v>
      </c>
      <c r="B56" s="26" t="s">
        <v>89</v>
      </c>
      <c r="C56" s="27">
        <f>500*(3)</f>
        <v>1500</v>
      </c>
      <c r="D56" s="27">
        <v>0</v>
      </c>
      <c r="E56" s="28">
        <f t="shared" si="3"/>
        <v>1500</v>
      </c>
      <c r="F56" s="46">
        <f t="shared" si="0"/>
        <v>0</v>
      </c>
      <c r="H56" s="34"/>
    </row>
    <row r="57" spans="1:8" ht="12.75" customHeight="1" x14ac:dyDescent="0.2">
      <c r="A57" s="25" t="s">
        <v>105</v>
      </c>
      <c r="B57" s="26" t="s">
        <v>104</v>
      </c>
      <c r="C57" s="27">
        <v>0</v>
      </c>
      <c r="D57" s="27">
        <v>20457.759999999998</v>
      </c>
      <c r="E57" s="28">
        <f t="shared" si="3"/>
        <v>-20457.759999999998</v>
      </c>
      <c r="F57" s="46">
        <f t="shared" si="0"/>
        <v>1.0525760008354024</v>
      </c>
      <c r="H57" s="34"/>
    </row>
    <row r="58" spans="1:8" ht="12.75" customHeight="1" x14ac:dyDescent="0.2">
      <c r="A58" s="25" t="s">
        <v>102</v>
      </c>
      <c r="B58" s="26" t="s">
        <v>90</v>
      </c>
      <c r="C58" s="27">
        <f>500*(3)</f>
        <v>1500</v>
      </c>
      <c r="D58" s="27">
        <f>24999+26998</f>
        <v>51997</v>
      </c>
      <c r="E58" s="28">
        <f t="shared" si="3"/>
        <v>-50497</v>
      </c>
      <c r="F58" s="46">
        <f t="shared" si="0"/>
        <v>2.6753072826858086</v>
      </c>
      <c r="H58" s="34"/>
    </row>
    <row r="59" spans="1:8" ht="12.75" customHeight="1" x14ac:dyDescent="0.2">
      <c r="A59" s="25" t="s">
        <v>103</v>
      </c>
      <c r="B59" s="26" t="s">
        <v>91</v>
      </c>
      <c r="C59" s="27">
        <f>500*(3)</f>
        <v>1500</v>
      </c>
      <c r="D59" s="27">
        <v>0</v>
      </c>
      <c r="E59" s="28">
        <f t="shared" si="3"/>
        <v>1500</v>
      </c>
      <c r="F59" s="46">
        <f t="shared" si="0"/>
        <v>0</v>
      </c>
      <c r="H59" s="34"/>
    </row>
    <row r="60" spans="1:8" ht="12.75" customHeight="1" x14ac:dyDescent="0.2">
      <c r="A60" s="25"/>
      <c r="B60" s="47" t="s">
        <v>98</v>
      </c>
      <c r="C60" s="33">
        <f>+C61</f>
        <v>189000</v>
      </c>
      <c r="D60" s="33">
        <f>+D61</f>
        <v>0</v>
      </c>
      <c r="E60" s="23">
        <f t="shared" ref="E60" si="5">C60-D60</f>
        <v>189000</v>
      </c>
      <c r="F60" s="24">
        <f t="shared" si="0"/>
        <v>0</v>
      </c>
      <c r="H60" s="34"/>
    </row>
    <row r="61" spans="1:8" ht="12.75" customHeight="1" x14ac:dyDescent="0.2">
      <c r="A61" s="25" t="s">
        <v>92</v>
      </c>
      <c r="B61" s="26" t="s">
        <v>93</v>
      </c>
      <c r="C61" s="27">
        <f>756000/12*(3)</f>
        <v>189000</v>
      </c>
      <c r="D61" s="27">
        <f>207444.93-207444.93</f>
        <v>0</v>
      </c>
      <c r="E61" s="28">
        <f t="shared" si="3"/>
        <v>189000</v>
      </c>
      <c r="F61" s="46">
        <f t="shared" si="0"/>
        <v>0</v>
      </c>
      <c r="H61" s="34"/>
    </row>
    <row r="62" spans="1:8" ht="12.75" customHeight="1" x14ac:dyDescent="0.2">
      <c r="A62" s="25" t="s">
        <v>113</v>
      </c>
      <c r="B62" s="49" t="s">
        <v>114</v>
      </c>
      <c r="C62" s="27"/>
      <c r="D62" s="33">
        <f>SUM(D63:D64)</f>
        <v>214113.96000000002</v>
      </c>
      <c r="E62" s="28"/>
      <c r="F62" s="32"/>
      <c r="H62" s="34"/>
    </row>
    <row r="63" spans="1:8" ht="12.75" customHeight="1" x14ac:dyDescent="0.2">
      <c r="A63" s="25" t="s">
        <v>115</v>
      </c>
      <c r="B63" s="26" t="s">
        <v>116</v>
      </c>
      <c r="C63" s="27"/>
      <c r="D63" s="27">
        <v>100613.96</v>
      </c>
      <c r="E63" s="28"/>
      <c r="F63" s="32"/>
      <c r="H63" s="34"/>
    </row>
    <row r="64" spans="1:8" ht="12.75" customHeight="1" x14ac:dyDescent="0.2">
      <c r="A64" s="25" t="s">
        <v>117</v>
      </c>
      <c r="B64" s="26" t="s">
        <v>121</v>
      </c>
      <c r="C64" s="27"/>
      <c r="D64" s="27">
        <f>42000+71500</f>
        <v>113500</v>
      </c>
      <c r="E64" s="28"/>
      <c r="F64" s="32"/>
    </row>
    <row r="65" spans="1:6" ht="12.75" customHeight="1" thickBot="1" x14ac:dyDescent="0.25">
      <c r="A65" s="35"/>
      <c r="B65" s="36"/>
      <c r="C65" s="28"/>
      <c r="D65" s="27"/>
      <c r="E65" s="28"/>
      <c r="F65" s="29"/>
    </row>
    <row r="66" spans="1:6" ht="12.75" customHeight="1" thickBot="1" x14ac:dyDescent="0.25">
      <c r="A66" s="37"/>
      <c r="B66" s="38" t="s">
        <v>33</v>
      </c>
      <c r="C66" s="39">
        <f>+C18</f>
        <v>3363918.92</v>
      </c>
      <c r="D66" s="39">
        <f>+D18</f>
        <v>1943589.82</v>
      </c>
      <c r="E66" s="40">
        <f>C66-D66</f>
        <v>1420329.0999999999</v>
      </c>
      <c r="F66" s="41">
        <f>(D66/$D$66)*100</f>
        <v>100</v>
      </c>
    </row>
    <row r="68" spans="1:6" x14ac:dyDescent="0.2">
      <c r="A68" s="1" t="s">
        <v>34</v>
      </c>
    </row>
    <row r="72" spans="1:6" x14ac:dyDescent="0.2">
      <c r="A72" s="1" t="s">
        <v>35</v>
      </c>
      <c r="C72" s="42" t="s">
        <v>36</v>
      </c>
      <c r="D72" s="42"/>
      <c r="E72" s="43"/>
    </row>
    <row r="73" spans="1:6" x14ac:dyDescent="0.2">
      <c r="A73" s="1" t="s">
        <v>37</v>
      </c>
      <c r="C73" s="42" t="s">
        <v>38</v>
      </c>
      <c r="D73" s="42"/>
      <c r="E73" s="43"/>
    </row>
    <row r="74" spans="1:6" x14ac:dyDescent="0.2">
      <c r="A74" s="5" t="s">
        <v>39</v>
      </c>
      <c r="C74" s="44" t="s">
        <v>40</v>
      </c>
      <c r="D74" s="42"/>
      <c r="E74" s="43"/>
    </row>
  </sheetData>
  <mergeCells count="3">
    <mergeCell ref="A1:E1"/>
    <mergeCell ref="A2:E2"/>
    <mergeCell ref="A3:E3"/>
  </mergeCells>
  <printOptions horizontalCentered="1"/>
  <pageMargins left="0" right="0" top="0.39370078740157483" bottom="0.39370078740157483"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abSelected="1" workbookViewId="0">
      <selection activeCell="F68" sqref="F68"/>
    </sheetView>
  </sheetViews>
  <sheetFormatPr baseColWidth="10" defaultColWidth="9.140625" defaultRowHeight="12.75" x14ac:dyDescent="0.2"/>
  <cols>
    <col min="1" max="1" width="24.85546875" style="1" customWidth="1"/>
    <col min="2" max="2" width="42.28515625" style="1" customWidth="1"/>
    <col min="3" max="3" width="15.85546875" style="2" customWidth="1"/>
    <col min="4" max="4" width="14.28515625" style="2" customWidth="1"/>
    <col min="5" max="5" width="16.28515625" style="3" customWidth="1"/>
    <col min="6" max="6" width="12.7109375" style="1" customWidth="1"/>
    <col min="7" max="7" width="9.140625" style="1" customWidth="1"/>
    <col min="8" max="16384" width="9.140625" style="1"/>
  </cols>
  <sheetData>
    <row r="1" spans="1:6" x14ac:dyDescent="0.2">
      <c r="A1" s="52" t="s">
        <v>0</v>
      </c>
      <c r="B1" s="52"/>
      <c r="C1" s="52"/>
      <c r="D1" s="52"/>
      <c r="E1" s="52"/>
    </row>
    <row r="2" spans="1:6" x14ac:dyDescent="0.2">
      <c r="A2" s="52" t="s">
        <v>99</v>
      </c>
      <c r="B2" s="52"/>
      <c r="C2" s="52"/>
      <c r="D2" s="52"/>
      <c r="E2" s="52"/>
    </row>
    <row r="3" spans="1:6" x14ac:dyDescent="0.2">
      <c r="A3" s="52" t="s">
        <v>1</v>
      </c>
      <c r="B3" s="52"/>
      <c r="C3" s="52"/>
      <c r="D3" s="52"/>
      <c r="E3" s="52"/>
    </row>
    <row r="4" spans="1:6" x14ac:dyDescent="0.2">
      <c r="F4" s="4" t="s">
        <v>2</v>
      </c>
    </row>
    <row r="5" spans="1:6" x14ac:dyDescent="0.2">
      <c r="A5" s="5" t="s">
        <v>3</v>
      </c>
      <c r="C5" s="6" t="s">
        <v>125</v>
      </c>
    </row>
    <row r="7" spans="1:6" x14ac:dyDescent="0.2">
      <c r="A7" s="1" t="s">
        <v>108</v>
      </c>
    </row>
    <row r="8" spans="1:6" x14ac:dyDescent="0.2">
      <c r="A8" s="1" t="s">
        <v>122</v>
      </c>
      <c r="D8" s="7">
        <v>734553.67</v>
      </c>
    </row>
    <row r="9" spans="1:6" x14ac:dyDescent="0.2">
      <c r="A9" s="1" t="s">
        <v>127</v>
      </c>
      <c r="D9" s="7">
        <f>712027.67+716066.67+719625.67+717087.67+720610.67+722067.67</f>
        <v>4307486.0200000005</v>
      </c>
    </row>
    <row r="10" spans="1:6" x14ac:dyDescent="0.2">
      <c r="A10" s="1" t="s">
        <v>123</v>
      </c>
      <c r="D10" s="7">
        <f>100613.96+200000+70062+40000+25.34+140000+38.4+180000+280000+10000+5000+65000+2.72+70997+25000+30000+45000+26.8</f>
        <v>1261766.2200000002</v>
      </c>
    </row>
    <row r="11" spans="1:6" x14ac:dyDescent="0.2">
      <c r="A11" s="1" t="s">
        <v>128</v>
      </c>
      <c r="D11" s="7">
        <f>D66</f>
        <v>6041501.29</v>
      </c>
      <c r="F11" s="3"/>
    </row>
    <row r="12" spans="1:6" x14ac:dyDescent="0.2">
      <c r="A12" s="5" t="s">
        <v>5</v>
      </c>
      <c r="D12" s="7">
        <f>D8+D9+D10-D11</f>
        <v>262304.62000000011</v>
      </c>
    </row>
    <row r="13" spans="1:6" x14ac:dyDescent="0.2">
      <c r="A13" s="1" t="s">
        <v>124</v>
      </c>
      <c r="D13" s="7">
        <v>724161.82</v>
      </c>
    </row>
    <row r="14" spans="1:6" ht="13.5" thickBot="1" x14ac:dyDescent="0.25">
      <c r="A14" s="5" t="s">
        <v>6</v>
      </c>
      <c r="D14" s="7">
        <f>+D13-D12</f>
        <v>461857.19999999984</v>
      </c>
    </row>
    <row r="15" spans="1:6" ht="12.75" customHeight="1" x14ac:dyDescent="0.2">
      <c r="A15" s="8" t="s">
        <v>7</v>
      </c>
      <c r="B15" s="9" t="s">
        <v>8</v>
      </c>
      <c r="C15" s="10" t="s">
        <v>9</v>
      </c>
      <c r="D15" s="10" t="s">
        <v>10</v>
      </c>
      <c r="E15" s="11" t="s">
        <v>11</v>
      </c>
      <c r="F15" s="12" t="s">
        <v>12</v>
      </c>
    </row>
    <row r="16" spans="1:6" ht="12.75" customHeight="1" thickBot="1" x14ac:dyDescent="0.25">
      <c r="A16" s="13" t="s">
        <v>13</v>
      </c>
      <c r="B16" s="14"/>
      <c r="C16" s="15" t="s">
        <v>14</v>
      </c>
      <c r="D16" s="15" t="s">
        <v>15</v>
      </c>
      <c r="E16" s="16"/>
      <c r="F16" s="17" t="s">
        <v>16</v>
      </c>
    </row>
    <row r="17" spans="1:6" ht="12.75" customHeight="1" x14ac:dyDescent="0.2">
      <c r="A17" s="18"/>
      <c r="B17" s="19"/>
      <c r="C17" s="10"/>
      <c r="D17" s="10"/>
      <c r="E17" s="10"/>
      <c r="F17" s="20"/>
    </row>
    <row r="18" spans="1:6" ht="12.75" customHeight="1" x14ac:dyDescent="0.2">
      <c r="A18" s="21"/>
      <c r="B18" s="22" t="s">
        <v>17</v>
      </c>
      <c r="C18" s="23">
        <f>+C19+C32+C42+C54+C60</f>
        <v>10094756.76</v>
      </c>
      <c r="D18" s="23">
        <f>+D19+D32+D42+D54+D60+D62</f>
        <v>6041501.29</v>
      </c>
      <c r="E18" s="23">
        <f>C18-D18</f>
        <v>4053255.4699999997</v>
      </c>
      <c r="F18" s="24">
        <f t="shared" ref="F18:F61" si="0">(D18/$D$66)*100</f>
        <v>100</v>
      </c>
    </row>
    <row r="19" spans="1:6" ht="12.75" customHeight="1" x14ac:dyDescent="0.2">
      <c r="A19" s="21"/>
      <c r="B19" s="22" t="s">
        <v>94</v>
      </c>
      <c r="C19" s="23">
        <f>SUM(C20:C31)</f>
        <v>2442987</v>
      </c>
      <c r="D19" s="23">
        <f>SUM(D20:D31)</f>
        <v>2683848.9699999997</v>
      </c>
      <c r="E19" s="23">
        <f>C19-D19</f>
        <v>-240861.96999999974</v>
      </c>
      <c r="F19" s="24">
        <f t="shared" si="0"/>
        <v>44.423543771187376</v>
      </c>
    </row>
    <row r="20" spans="1:6" ht="12.75" customHeight="1" x14ac:dyDescent="0.2">
      <c r="A20" s="25" t="s">
        <v>43</v>
      </c>
      <c r="B20" s="26" t="s">
        <v>18</v>
      </c>
      <c r="C20" s="27">
        <f>2264652/12*(9)</f>
        <v>1698489</v>
      </c>
      <c r="D20" s="27">
        <f>567819.62+575229.13</f>
        <v>1143048.75</v>
      </c>
      <c r="E20" s="28">
        <f t="shared" ref="E20:E46" si="1">C20-D20</f>
        <v>555440.25</v>
      </c>
      <c r="F20" s="46">
        <f t="shared" si="0"/>
        <v>18.919945476002702</v>
      </c>
    </row>
    <row r="21" spans="1:6" ht="12.75" customHeight="1" x14ac:dyDescent="0.2">
      <c r="A21" s="25" t="s">
        <v>44</v>
      </c>
      <c r="B21" s="26" t="s">
        <v>19</v>
      </c>
      <c r="C21" s="27">
        <f>298824/12*(9)</f>
        <v>224118</v>
      </c>
      <c r="D21" s="27">
        <f>77706+75925</f>
        <v>153631</v>
      </c>
      <c r="E21" s="28">
        <f t="shared" si="1"/>
        <v>70487</v>
      </c>
      <c r="F21" s="46">
        <f t="shared" si="0"/>
        <v>2.5429275378007903</v>
      </c>
    </row>
    <row r="22" spans="1:6" ht="12.75" customHeight="1" x14ac:dyDescent="0.2">
      <c r="A22" s="25" t="s">
        <v>45</v>
      </c>
      <c r="B22" s="26" t="s">
        <v>20</v>
      </c>
      <c r="C22" s="28">
        <f>57000/12*(9)</f>
        <v>42750</v>
      </c>
      <c r="D22" s="27">
        <f>302336.68+302776.68</f>
        <v>605113.36</v>
      </c>
      <c r="E22" s="28">
        <f t="shared" si="1"/>
        <v>-562363.36</v>
      </c>
      <c r="F22" s="46">
        <f t="shared" si="0"/>
        <v>10.015943570211503</v>
      </c>
    </row>
    <row r="23" spans="1:6" ht="12.75" customHeight="1" x14ac:dyDescent="0.2">
      <c r="A23" s="25" t="s">
        <v>46</v>
      </c>
      <c r="B23" s="26" t="s">
        <v>21</v>
      </c>
      <c r="C23" s="28">
        <v>0</v>
      </c>
      <c r="D23" s="27"/>
      <c r="E23" s="28">
        <f t="shared" si="1"/>
        <v>0</v>
      </c>
      <c r="F23" s="46">
        <f t="shared" si="0"/>
        <v>0</v>
      </c>
    </row>
    <row r="24" spans="1:6" ht="12.75" customHeight="1" x14ac:dyDescent="0.2">
      <c r="A24" s="25" t="s">
        <v>47</v>
      </c>
      <c r="B24" s="26" t="s">
        <v>22</v>
      </c>
      <c r="C24" s="28">
        <v>0</v>
      </c>
      <c r="D24" s="28">
        <f>15454.72+14158.54</f>
        <v>29613.260000000002</v>
      </c>
      <c r="E24" s="28">
        <f t="shared" si="1"/>
        <v>-29613.260000000002</v>
      </c>
      <c r="F24" s="46">
        <f t="shared" si="0"/>
        <v>0.49016392744989384</v>
      </c>
    </row>
    <row r="25" spans="1:6" ht="12.75" customHeight="1" x14ac:dyDescent="0.2">
      <c r="A25" s="25" t="s">
        <v>48</v>
      </c>
      <c r="B25" s="26" t="s">
        <v>23</v>
      </c>
      <c r="C25" s="28">
        <v>0</v>
      </c>
      <c r="D25" s="28"/>
      <c r="E25" s="28">
        <f t="shared" si="1"/>
        <v>0</v>
      </c>
      <c r="F25" s="46">
        <f t="shared" si="0"/>
        <v>0</v>
      </c>
    </row>
    <row r="26" spans="1:6" ht="12.75" customHeight="1" x14ac:dyDescent="0.2">
      <c r="A26" s="25" t="s">
        <v>48</v>
      </c>
      <c r="B26" s="26" t="s">
        <v>24</v>
      </c>
      <c r="C26" s="28">
        <v>0</v>
      </c>
      <c r="D26" s="28"/>
      <c r="E26" s="28">
        <f t="shared" si="1"/>
        <v>0</v>
      </c>
      <c r="F26" s="46">
        <f t="shared" si="0"/>
        <v>0</v>
      </c>
    </row>
    <row r="27" spans="1:6" ht="12.75" customHeight="1" x14ac:dyDescent="0.2">
      <c r="A27" s="25" t="s">
        <v>49</v>
      </c>
      <c r="B27" s="26" t="s">
        <v>25</v>
      </c>
      <c r="C27" s="28">
        <f>244956/12*(9)</f>
        <v>183717</v>
      </c>
      <c r="D27" s="28">
        <f>61239+61239</f>
        <v>122478</v>
      </c>
      <c r="E27" s="28">
        <f t="shared" si="1"/>
        <v>61239</v>
      </c>
      <c r="F27" s="46">
        <f t="shared" si="0"/>
        <v>2.0272775610050395</v>
      </c>
    </row>
    <row r="28" spans="1:6" ht="12.75" customHeight="1" x14ac:dyDescent="0.2">
      <c r="A28" s="25" t="s">
        <v>50</v>
      </c>
      <c r="B28" s="26" t="s">
        <v>26</v>
      </c>
      <c r="C28" s="28">
        <f>1000*(9)</f>
        <v>9000</v>
      </c>
      <c r="D28" s="28">
        <f>74264.32+78954.48</f>
        <v>153218.79999999999</v>
      </c>
      <c r="E28" s="28">
        <f t="shared" si="1"/>
        <v>-144218.79999999999</v>
      </c>
      <c r="F28" s="46">
        <f t="shared" si="0"/>
        <v>2.5361047303525441</v>
      </c>
    </row>
    <row r="29" spans="1:6" ht="12.75" customHeight="1" x14ac:dyDescent="0.2">
      <c r="A29" s="25" t="s">
        <v>51</v>
      </c>
      <c r="B29" s="26" t="s">
        <v>27</v>
      </c>
      <c r="C29" s="28">
        <f>2469*(9)</f>
        <v>22221</v>
      </c>
      <c r="D29" s="28"/>
      <c r="E29" s="28">
        <f t="shared" si="1"/>
        <v>22221</v>
      </c>
      <c r="F29" s="46">
        <f t="shared" si="0"/>
        <v>0</v>
      </c>
    </row>
    <row r="30" spans="1:6" ht="12.75" customHeight="1" x14ac:dyDescent="0.2">
      <c r="A30" s="25" t="s">
        <v>52</v>
      </c>
      <c r="B30" s="26" t="s">
        <v>28</v>
      </c>
      <c r="C30" s="28">
        <f>223380/12*(9)</f>
        <v>167535</v>
      </c>
      <c r="D30" s="28">
        <f>55838.4+55838.4</f>
        <v>111676.8</v>
      </c>
      <c r="E30" s="28">
        <f t="shared" si="1"/>
        <v>55858.2</v>
      </c>
      <c r="F30" s="46">
        <f t="shared" si="0"/>
        <v>1.8484941844645373</v>
      </c>
    </row>
    <row r="31" spans="1:6" ht="12.75" customHeight="1" x14ac:dyDescent="0.2">
      <c r="A31" s="25" t="s">
        <v>53</v>
      </c>
      <c r="B31" s="26" t="s">
        <v>29</v>
      </c>
      <c r="C31" s="28">
        <f>126876/12*(9)</f>
        <v>95157</v>
      </c>
      <c r="D31" s="28">
        <f>183189+181880</f>
        <v>365069</v>
      </c>
      <c r="E31" s="28">
        <f t="shared" si="1"/>
        <v>-269912</v>
      </c>
      <c r="F31" s="46">
        <f t="shared" si="0"/>
        <v>6.042686783900364</v>
      </c>
    </row>
    <row r="32" spans="1:6" ht="12.75" customHeight="1" x14ac:dyDescent="0.2">
      <c r="A32" s="25"/>
      <c r="B32" s="47" t="s">
        <v>95</v>
      </c>
      <c r="C32" s="23">
        <f>SUM(C33:C41)</f>
        <v>575100</v>
      </c>
      <c r="D32" s="23">
        <f>SUM(D33:D41)</f>
        <v>480052.74000000005</v>
      </c>
      <c r="E32" s="23">
        <f t="shared" si="1"/>
        <v>95047.259999999951</v>
      </c>
      <c r="F32" s="24">
        <f t="shared" si="0"/>
        <v>7.9459180252860637</v>
      </c>
    </row>
    <row r="33" spans="1:6" ht="12.75" customHeight="1" x14ac:dyDescent="0.2">
      <c r="A33" s="25" t="s">
        <v>55</v>
      </c>
      <c r="B33" s="26" t="s">
        <v>54</v>
      </c>
      <c r="C33" s="28">
        <f>120000/12*(9)</f>
        <v>90000</v>
      </c>
      <c r="D33" s="28">
        <f>9270.51+10300.05</f>
        <v>19570.559999999998</v>
      </c>
      <c r="E33" s="28">
        <f t="shared" si="1"/>
        <v>70429.440000000002</v>
      </c>
      <c r="F33" s="46">
        <f t="shared" si="0"/>
        <v>0.32393537732737948</v>
      </c>
    </row>
    <row r="34" spans="1:6" ht="12.75" customHeight="1" x14ac:dyDescent="0.2">
      <c r="A34" s="25" t="s">
        <v>56</v>
      </c>
      <c r="B34" s="26" t="s">
        <v>58</v>
      </c>
      <c r="C34" s="28">
        <f>1000*(9)</f>
        <v>9000</v>
      </c>
      <c r="D34" s="28">
        <f>1934+1994.99</f>
        <v>3928.99</v>
      </c>
      <c r="E34" s="28">
        <f t="shared" si="1"/>
        <v>5071.01</v>
      </c>
      <c r="F34" s="46">
        <f t="shared" si="0"/>
        <v>6.5033338758088727E-2</v>
      </c>
    </row>
    <row r="35" spans="1:6" ht="12.75" customHeight="1" x14ac:dyDescent="0.2">
      <c r="A35" s="25" t="s">
        <v>57</v>
      </c>
      <c r="B35" s="26" t="s">
        <v>59</v>
      </c>
      <c r="C35" s="28">
        <f>100*(9)</f>
        <v>900</v>
      </c>
      <c r="D35" s="28">
        <f>1068+2060.08</f>
        <v>3128.08</v>
      </c>
      <c r="E35" s="28">
        <f t="shared" si="1"/>
        <v>-2228.08</v>
      </c>
      <c r="F35" s="46">
        <f t="shared" si="0"/>
        <v>5.1776534504389723E-2</v>
      </c>
    </row>
    <row r="36" spans="1:6" ht="12.75" customHeight="1" x14ac:dyDescent="0.2">
      <c r="A36" s="25" t="s">
        <v>60</v>
      </c>
      <c r="B36" s="26" t="s">
        <v>61</v>
      </c>
      <c r="C36" s="28">
        <f>100*(9)</f>
        <v>900</v>
      </c>
      <c r="D36" s="28"/>
      <c r="E36" s="28">
        <f t="shared" si="1"/>
        <v>900</v>
      </c>
      <c r="F36" s="46">
        <f t="shared" si="0"/>
        <v>0</v>
      </c>
    </row>
    <row r="37" spans="1:6" ht="12.75" customHeight="1" x14ac:dyDescent="0.2">
      <c r="A37" s="25" t="s">
        <v>42</v>
      </c>
      <c r="B37" s="26" t="s">
        <v>30</v>
      </c>
      <c r="C37" s="28">
        <f>600000/12*(9)</f>
        <v>450000</v>
      </c>
      <c r="D37" s="28">
        <f>224253.73+222012.54</f>
        <v>446266.27</v>
      </c>
      <c r="E37" s="28">
        <f t="shared" si="1"/>
        <v>3733.7299999999814</v>
      </c>
      <c r="F37" s="46">
        <f t="shared" si="0"/>
        <v>7.3866783863585015</v>
      </c>
    </row>
    <row r="38" spans="1:6" ht="12.75" customHeight="1" x14ac:dyDescent="0.2">
      <c r="A38" s="25" t="s">
        <v>62</v>
      </c>
      <c r="B38" s="26" t="s">
        <v>31</v>
      </c>
      <c r="C38" s="28">
        <f>500*(9)</f>
        <v>4500</v>
      </c>
      <c r="D38" s="28">
        <f>4178.98+2979.86</f>
        <v>7158.84</v>
      </c>
      <c r="E38" s="28">
        <f t="shared" si="1"/>
        <v>-2658.84</v>
      </c>
      <c r="F38" s="46">
        <f t="shared" si="0"/>
        <v>0.11849438833770405</v>
      </c>
    </row>
    <row r="39" spans="1:6" ht="12.75" customHeight="1" x14ac:dyDescent="0.2">
      <c r="A39" s="25" t="s">
        <v>63</v>
      </c>
      <c r="B39" s="26" t="s">
        <v>32</v>
      </c>
      <c r="C39" s="28">
        <f>2000*(9)</f>
        <v>18000</v>
      </c>
      <c r="D39" s="28"/>
      <c r="E39" s="28">
        <f t="shared" si="1"/>
        <v>18000</v>
      </c>
      <c r="F39" s="46">
        <f t="shared" si="0"/>
        <v>0</v>
      </c>
    </row>
    <row r="40" spans="1:6" ht="12.75" customHeight="1" x14ac:dyDescent="0.2">
      <c r="A40" s="25" t="s">
        <v>64</v>
      </c>
      <c r="B40" s="26" t="s">
        <v>65</v>
      </c>
      <c r="C40" s="28">
        <f>100*(9)</f>
        <v>900</v>
      </c>
      <c r="D40" s="28"/>
      <c r="E40" s="28">
        <f t="shared" si="1"/>
        <v>900</v>
      </c>
      <c r="F40" s="46">
        <f t="shared" si="0"/>
        <v>0</v>
      </c>
    </row>
    <row r="41" spans="1:6" ht="12.75" customHeight="1" x14ac:dyDescent="0.2">
      <c r="A41" s="25" t="s">
        <v>66</v>
      </c>
      <c r="B41" s="26" t="s">
        <v>67</v>
      </c>
      <c r="C41" s="28">
        <f>100*(9)</f>
        <v>900</v>
      </c>
      <c r="D41" s="28"/>
      <c r="E41" s="28">
        <f t="shared" si="1"/>
        <v>900</v>
      </c>
      <c r="F41" s="46">
        <f t="shared" si="0"/>
        <v>0</v>
      </c>
    </row>
    <row r="42" spans="1:6" ht="12.75" customHeight="1" x14ac:dyDescent="0.2">
      <c r="A42" s="25"/>
      <c r="B42" s="47" t="s">
        <v>96</v>
      </c>
      <c r="C42" s="23">
        <f>SUM(C43:C53)</f>
        <v>6485669.7599999998</v>
      </c>
      <c r="D42" s="23">
        <f>SUM(D43:D53)</f>
        <v>2826731.7600000002</v>
      </c>
      <c r="E42" s="23">
        <f t="shared" si="1"/>
        <v>3658937.9999999995</v>
      </c>
      <c r="F42" s="24">
        <f t="shared" si="0"/>
        <v>46.788565032318317</v>
      </c>
    </row>
    <row r="43" spans="1:6" ht="12.75" customHeight="1" x14ac:dyDescent="0.2">
      <c r="A43" s="25" t="s">
        <v>68</v>
      </c>
      <c r="B43" s="26" t="s">
        <v>69</v>
      </c>
      <c r="C43" s="27">
        <f>300000/12*(9)</f>
        <v>225000</v>
      </c>
      <c r="D43" s="28">
        <f>96779+83371</f>
        <v>180150</v>
      </c>
      <c r="E43" s="28">
        <f t="shared" si="1"/>
        <v>44850</v>
      </c>
      <c r="F43" s="46">
        <f t="shared" si="0"/>
        <v>2.9818747253797242</v>
      </c>
    </row>
    <row r="44" spans="1:6" ht="12.75" customHeight="1" x14ac:dyDescent="0.2">
      <c r="A44" s="25" t="s">
        <v>70</v>
      </c>
      <c r="B44" s="26" t="s">
        <v>71</v>
      </c>
      <c r="C44" s="27">
        <f>8056359.68/12*(9)</f>
        <v>6042269.7599999998</v>
      </c>
      <c r="D44" s="28">
        <f>1353324+1149726</f>
        <v>2503050</v>
      </c>
      <c r="E44" s="28">
        <f t="shared" si="1"/>
        <v>3539219.76</v>
      </c>
      <c r="F44" s="46">
        <f t="shared" si="0"/>
        <v>41.430927179360083</v>
      </c>
    </row>
    <row r="45" spans="1:6" ht="12.75" customHeight="1" x14ac:dyDescent="0.2">
      <c r="A45" s="25" t="s">
        <v>72</v>
      </c>
      <c r="B45" s="26" t="s">
        <v>73</v>
      </c>
      <c r="C45" s="27">
        <f>72000/12*(9)</f>
        <v>54000</v>
      </c>
      <c r="D45" s="28">
        <f>5296.44+5297</f>
        <v>10593.439999999999</v>
      </c>
      <c r="E45" s="28">
        <f t="shared" si="1"/>
        <v>43406.559999999998</v>
      </c>
      <c r="F45" s="46">
        <f t="shared" si="0"/>
        <v>0.17534449620220138</v>
      </c>
    </row>
    <row r="46" spans="1:6" ht="12.75" customHeight="1" x14ac:dyDescent="0.2">
      <c r="A46" s="25" t="s">
        <v>74</v>
      </c>
      <c r="B46" s="26" t="s">
        <v>75</v>
      </c>
      <c r="C46" s="27">
        <f>500*(9)</f>
        <v>4500</v>
      </c>
      <c r="D46" s="27"/>
      <c r="E46" s="28">
        <f t="shared" si="1"/>
        <v>4500</v>
      </c>
      <c r="F46" s="46">
        <f t="shared" si="0"/>
        <v>0</v>
      </c>
    </row>
    <row r="47" spans="1:6" ht="12.75" customHeight="1" x14ac:dyDescent="0.2">
      <c r="A47" s="25" t="s">
        <v>76</v>
      </c>
      <c r="B47" s="45" t="s">
        <v>77</v>
      </c>
      <c r="C47" s="27">
        <f>100*(9)</f>
        <v>900</v>
      </c>
      <c r="D47" s="27"/>
      <c r="E47" s="28">
        <f>C47-D47</f>
        <v>900</v>
      </c>
      <c r="F47" s="46">
        <f t="shared" si="0"/>
        <v>0</v>
      </c>
    </row>
    <row r="48" spans="1:6" ht="12.75" customHeight="1" x14ac:dyDescent="0.2">
      <c r="A48" s="25" t="s">
        <v>78</v>
      </c>
      <c r="B48" s="26" t="s">
        <v>79</v>
      </c>
      <c r="C48" s="27">
        <f>60000/12*(9)</f>
        <v>45000</v>
      </c>
      <c r="D48" s="27"/>
      <c r="E48" s="28">
        <f t="shared" ref="E48:E61" si="2">C48-D48</f>
        <v>45000</v>
      </c>
      <c r="F48" s="46">
        <f t="shared" si="0"/>
        <v>0</v>
      </c>
    </row>
    <row r="49" spans="1:6" ht="12.75" customHeight="1" x14ac:dyDescent="0.2">
      <c r="A49" s="25" t="s">
        <v>80</v>
      </c>
      <c r="B49" s="26" t="s">
        <v>81</v>
      </c>
      <c r="C49" s="27">
        <f>1000*(9)</f>
        <v>9000</v>
      </c>
      <c r="D49" s="27">
        <f>5608.6+1892.07</f>
        <v>7500.67</v>
      </c>
      <c r="E49" s="28">
        <f t="shared" si="2"/>
        <v>1499.33</v>
      </c>
      <c r="F49" s="46">
        <f t="shared" si="0"/>
        <v>0.12415241907529247</v>
      </c>
    </row>
    <row r="50" spans="1:6" ht="12.75" customHeight="1" x14ac:dyDescent="0.2">
      <c r="A50" s="25" t="s">
        <v>82</v>
      </c>
      <c r="B50" s="26" t="s">
        <v>83</v>
      </c>
      <c r="C50" s="27">
        <f>1000*(9)</f>
        <v>9000</v>
      </c>
      <c r="D50" s="27">
        <f>1091.13+60.84</f>
        <v>1151.97</v>
      </c>
      <c r="E50" s="28">
        <f t="shared" si="2"/>
        <v>7848.03</v>
      </c>
      <c r="F50" s="46">
        <f t="shared" si="0"/>
        <v>1.906761158698685E-2</v>
      </c>
    </row>
    <row r="51" spans="1:6" ht="12.75" customHeight="1" x14ac:dyDescent="0.2">
      <c r="A51" s="25" t="s">
        <v>84</v>
      </c>
      <c r="B51" s="26" t="s">
        <v>85</v>
      </c>
      <c r="C51" s="27">
        <f>120000/12*(9)</f>
        <v>90000</v>
      </c>
      <c r="D51" s="27">
        <f>65543.9+50739.82</f>
        <v>116283.72</v>
      </c>
      <c r="E51" s="28">
        <f t="shared" si="2"/>
        <v>-26283.72</v>
      </c>
      <c r="F51" s="46">
        <f t="shared" si="0"/>
        <v>1.9247487407223578</v>
      </c>
    </row>
    <row r="52" spans="1:6" ht="12.75" customHeight="1" x14ac:dyDescent="0.2">
      <c r="A52" s="25" t="s">
        <v>86</v>
      </c>
      <c r="B52" s="26" t="s">
        <v>87</v>
      </c>
      <c r="C52" s="27">
        <f>500*(9)</f>
        <v>4500</v>
      </c>
      <c r="D52" s="27">
        <f>870+4805</f>
        <v>5675</v>
      </c>
      <c r="E52" s="28">
        <f t="shared" si="2"/>
        <v>-1175</v>
      </c>
      <c r="F52" s="46">
        <f t="shared" si="0"/>
        <v>9.3933605698195588E-2</v>
      </c>
    </row>
    <row r="53" spans="1:6" ht="12.75" customHeight="1" x14ac:dyDescent="0.2">
      <c r="A53" s="25" t="s">
        <v>106</v>
      </c>
      <c r="B53" s="26" t="s">
        <v>107</v>
      </c>
      <c r="C53" s="27">
        <v>1500</v>
      </c>
      <c r="D53" s="27">
        <f>1139.12+1187.84</f>
        <v>2326.96</v>
      </c>
      <c r="E53" s="28">
        <f t="shared" si="2"/>
        <v>-826.96</v>
      </c>
      <c r="F53" s="46">
        <f t="shared" si="0"/>
        <v>3.8516254293475452E-2</v>
      </c>
    </row>
    <row r="54" spans="1:6" ht="12.75" customHeight="1" x14ac:dyDescent="0.2">
      <c r="A54" s="25"/>
      <c r="B54" s="47" t="s">
        <v>97</v>
      </c>
      <c r="C54" s="33">
        <f>SUM(C55:C59)</f>
        <v>24000</v>
      </c>
      <c r="D54" s="33">
        <f>SUM(D55:D59)</f>
        <v>45136.009999999995</v>
      </c>
      <c r="E54" s="23">
        <f t="shared" si="2"/>
        <v>-21136.009999999995</v>
      </c>
      <c r="F54" s="24">
        <f t="shared" si="0"/>
        <v>0.74709923632243391</v>
      </c>
    </row>
    <row r="55" spans="1:6" ht="12.75" customHeight="1" x14ac:dyDescent="0.2">
      <c r="A55" s="25" t="s">
        <v>100</v>
      </c>
      <c r="B55" s="26" t="s">
        <v>88</v>
      </c>
      <c r="C55" s="27">
        <v>6000</v>
      </c>
      <c r="D55" s="27">
        <v>3199</v>
      </c>
      <c r="E55" s="28">
        <f t="shared" si="2"/>
        <v>2801</v>
      </c>
      <c r="F55" s="46">
        <f t="shared" si="0"/>
        <v>5.295041491251589E-2</v>
      </c>
    </row>
    <row r="56" spans="1:6" ht="12.75" customHeight="1" x14ac:dyDescent="0.2">
      <c r="A56" s="25" t="s">
        <v>101</v>
      </c>
      <c r="B56" s="26" t="s">
        <v>89</v>
      </c>
      <c r="C56" s="27">
        <v>6000</v>
      </c>
      <c r="D56" s="27">
        <v>7639.03</v>
      </c>
      <c r="E56" s="28">
        <f t="shared" si="2"/>
        <v>-1639.0299999999997</v>
      </c>
      <c r="F56" s="46">
        <f t="shared" si="0"/>
        <v>0.12644257831483471</v>
      </c>
    </row>
    <row r="57" spans="1:6" ht="12.75" customHeight="1" x14ac:dyDescent="0.2">
      <c r="A57" s="25" t="s">
        <v>105</v>
      </c>
      <c r="B57" s="26" t="s">
        <v>104</v>
      </c>
      <c r="C57" s="27">
        <v>0</v>
      </c>
      <c r="D57" s="27"/>
      <c r="E57" s="28">
        <f t="shared" si="2"/>
        <v>0</v>
      </c>
      <c r="F57" s="46">
        <f t="shared" si="0"/>
        <v>0</v>
      </c>
    </row>
    <row r="58" spans="1:6" ht="12.75" customHeight="1" x14ac:dyDescent="0.2">
      <c r="A58" s="25" t="s">
        <v>102</v>
      </c>
      <c r="B58" s="26" t="s">
        <v>90</v>
      </c>
      <c r="C58" s="27">
        <v>6000</v>
      </c>
      <c r="D58" s="27">
        <v>26998</v>
      </c>
      <c r="E58" s="28">
        <f t="shared" si="2"/>
        <v>-20998</v>
      </c>
      <c r="F58" s="46">
        <f t="shared" si="0"/>
        <v>0.44687568046517789</v>
      </c>
    </row>
    <row r="59" spans="1:6" ht="12.75" customHeight="1" x14ac:dyDescent="0.2">
      <c r="A59" s="25" t="s">
        <v>103</v>
      </c>
      <c r="B59" s="26" t="s">
        <v>91</v>
      </c>
      <c r="C59" s="27">
        <v>6000</v>
      </c>
      <c r="D59" s="27">
        <v>7299.98</v>
      </c>
      <c r="E59" s="28">
        <f t="shared" si="2"/>
        <v>-1299.9799999999996</v>
      </c>
      <c r="F59" s="46">
        <f t="shared" si="0"/>
        <v>0.12083056262990552</v>
      </c>
    </row>
    <row r="60" spans="1:6" ht="12.75" customHeight="1" x14ac:dyDescent="0.2">
      <c r="A60" s="25"/>
      <c r="B60" s="47" t="s">
        <v>98</v>
      </c>
      <c r="C60" s="33">
        <f>+C61</f>
        <v>567000</v>
      </c>
      <c r="D60" s="33">
        <f>+D61</f>
        <v>0</v>
      </c>
      <c r="E60" s="23">
        <f t="shared" si="2"/>
        <v>567000</v>
      </c>
      <c r="F60" s="24">
        <f t="shared" si="0"/>
        <v>0</v>
      </c>
    </row>
    <row r="61" spans="1:6" ht="12.75" customHeight="1" x14ac:dyDescent="0.2">
      <c r="A61" s="25" t="s">
        <v>92</v>
      </c>
      <c r="B61" s="26" t="s">
        <v>93</v>
      </c>
      <c r="C61" s="27">
        <f>756000/12*(9)</f>
        <v>567000</v>
      </c>
      <c r="D61" s="27"/>
      <c r="E61" s="28">
        <f t="shared" si="2"/>
        <v>567000</v>
      </c>
      <c r="F61" s="46">
        <f t="shared" si="0"/>
        <v>0</v>
      </c>
    </row>
    <row r="62" spans="1:6" ht="12.75" customHeight="1" x14ac:dyDescent="0.2">
      <c r="A62" s="50" t="s">
        <v>113</v>
      </c>
      <c r="B62" s="51" t="s">
        <v>114</v>
      </c>
      <c r="C62" s="33"/>
      <c r="D62" s="33">
        <f>+D63</f>
        <v>5731.81</v>
      </c>
      <c r="E62" s="28"/>
      <c r="F62" s="32"/>
    </row>
    <row r="63" spans="1:6" ht="12.75" customHeight="1" x14ac:dyDescent="0.2">
      <c r="A63" s="25" t="s">
        <v>119</v>
      </c>
      <c r="B63" s="26" t="s">
        <v>120</v>
      </c>
      <c r="C63" s="27"/>
      <c r="D63" s="27">
        <f>5731.81</f>
        <v>5731.81</v>
      </c>
      <c r="E63" s="28"/>
      <c r="F63" s="32"/>
    </row>
    <row r="64" spans="1:6" ht="12.75" customHeight="1" x14ac:dyDescent="0.2">
      <c r="A64" s="25"/>
      <c r="B64" s="26" t="s">
        <v>126</v>
      </c>
      <c r="C64" s="27"/>
      <c r="D64" s="27"/>
      <c r="E64" s="28"/>
      <c r="F64" s="32"/>
    </row>
    <row r="65" spans="1:6" ht="12.75" customHeight="1" thickBot="1" x14ac:dyDescent="0.25">
      <c r="A65" s="35"/>
      <c r="B65" s="36"/>
      <c r="C65" s="28"/>
      <c r="D65" s="27"/>
      <c r="E65" s="28"/>
      <c r="F65" s="29"/>
    </row>
    <row r="66" spans="1:6" ht="12.75" customHeight="1" thickBot="1" x14ac:dyDescent="0.25">
      <c r="A66" s="37"/>
      <c r="B66" s="38" t="s">
        <v>33</v>
      </c>
      <c r="C66" s="39">
        <f>+C18</f>
        <v>10094756.76</v>
      </c>
      <c r="D66" s="39">
        <f>+D18</f>
        <v>6041501.29</v>
      </c>
      <c r="E66" s="40">
        <f>C66-D66</f>
        <v>4053255.4699999997</v>
      </c>
      <c r="F66" s="41">
        <f>(D66/$D$66)*100</f>
        <v>100</v>
      </c>
    </row>
    <row r="68" spans="1:6" x14ac:dyDescent="0.2">
      <c r="A68" s="48" t="s">
        <v>34</v>
      </c>
    </row>
    <row r="72" spans="1:6" x14ac:dyDescent="0.2">
      <c r="A72" s="1" t="s">
        <v>35</v>
      </c>
      <c r="C72" s="42" t="s">
        <v>36</v>
      </c>
      <c r="D72" s="42"/>
      <c r="E72" s="43"/>
    </row>
    <row r="73" spans="1:6" x14ac:dyDescent="0.2">
      <c r="A73" s="1" t="s">
        <v>37</v>
      </c>
      <c r="C73" s="42" t="s">
        <v>38</v>
      </c>
      <c r="D73" s="42"/>
      <c r="E73" s="43"/>
    </row>
    <row r="74" spans="1:6" x14ac:dyDescent="0.2">
      <c r="A74" s="5" t="s">
        <v>39</v>
      </c>
      <c r="C74" s="44" t="s">
        <v>40</v>
      </c>
      <c r="D74" s="42"/>
      <c r="E74" s="43"/>
    </row>
  </sheetData>
  <mergeCells count="3">
    <mergeCell ref="A1:E1"/>
    <mergeCell ref="A2:E2"/>
    <mergeCell ref="A3:E3"/>
  </mergeCells>
  <pageMargins left="0.39370078740157483" right="0" top="0" bottom="0" header="0" footer="0"/>
  <pageSetup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Anexo15 Ct 0279791546</vt:lpstr>
      <vt:lpstr>Anexo15 Cta 0307778169</vt:lpstr>
      <vt:lpstr>'Anexo15 Ct 0279791546'!Área_de_impresión</vt:lpstr>
      <vt:lpstr>'Anexo15 Cta 0307778169'!Área_de_impresión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2017-11-07T20:14:17Z</cp:lastPrinted>
  <dcterms:created xsi:type="dcterms:W3CDTF">2016-08-17T17:42:02Z</dcterms:created>
  <dcterms:modified xsi:type="dcterms:W3CDTF">2017-11-07T20:15:32Z</dcterms:modified>
</cp:coreProperties>
</file>